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de92daf29c20763/Documents/River 2024/Dannys Report/"/>
    </mc:Choice>
  </mc:AlternateContent>
  <xr:revisionPtr revIDLastSave="0" documentId="8_{B16725C7-76DA-4948-B47B-C2EA7D65146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Water Use Report" sheetId="1" r:id="rId1"/>
    <sheet name="Duty 2024" sheetId="2" r:id="rId2"/>
    <sheet name="Red Creek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D25" i="1"/>
  <c r="F7" i="1"/>
  <c r="G7" i="1"/>
  <c r="H7" i="1" s="1"/>
  <c r="E8" i="1"/>
  <c r="F8" i="1"/>
  <c r="G8" i="1"/>
  <c r="E29" i="1"/>
  <c r="F29" i="1"/>
  <c r="G29" i="1"/>
  <c r="H29" i="1"/>
  <c r="I29" i="1"/>
  <c r="J29" i="1"/>
  <c r="K29" i="1"/>
  <c r="L29" i="1"/>
  <c r="M29" i="1"/>
  <c r="N29" i="1"/>
  <c r="O29" i="1"/>
  <c r="P29" i="1"/>
  <c r="B33" i="4"/>
  <c r="B31" i="4"/>
  <c r="B32" i="4"/>
  <c r="AD29" i="1"/>
  <c r="D26" i="1"/>
  <c r="I7" i="1" l="1"/>
  <c r="H8" i="1"/>
  <c r="C29" i="1"/>
  <c r="D27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AC29" i="1"/>
  <c r="AB29" i="1"/>
  <c r="AA29" i="1"/>
  <c r="Z29" i="1"/>
  <c r="V29" i="1"/>
  <c r="J7" i="1" l="1"/>
  <c r="I8" i="1"/>
  <c r="D29" i="1"/>
  <c r="Y29" i="1"/>
  <c r="J8" i="1" l="1"/>
  <c r="K7" i="1"/>
  <c r="B29" i="1"/>
  <c r="Q29" i="1"/>
  <c r="R29" i="1"/>
  <c r="S29" i="1"/>
  <c r="T29" i="1"/>
  <c r="U29" i="1"/>
  <c r="W29" i="1"/>
  <c r="X29" i="1"/>
  <c r="K8" i="1" l="1"/>
  <c r="L7" i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L8" i="1" l="1"/>
  <c r="M7" i="1"/>
  <c r="E10" i="2"/>
  <c r="G10" i="2" s="1"/>
  <c r="H10" i="2" s="1"/>
  <c r="N10" i="2"/>
  <c r="P10" i="2"/>
  <c r="Q10" i="2" s="1"/>
  <c r="E11" i="2"/>
  <c r="G11" i="2"/>
  <c r="N11" i="2"/>
  <c r="P11" i="2" s="1"/>
  <c r="E12" i="2"/>
  <c r="G12" i="2"/>
  <c r="N12" i="2"/>
  <c r="P12" i="2" s="1"/>
  <c r="E13" i="2"/>
  <c r="G13" i="2"/>
  <c r="N13" i="2"/>
  <c r="P13" i="2" s="1"/>
  <c r="E14" i="2"/>
  <c r="G14" i="2"/>
  <c r="N14" i="2"/>
  <c r="P14" i="2" s="1"/>
  <c r="E15" i="2"/>
  <c r="G15" i="2" s="1"/>
  <c r="N15" i="2"/>
  <c r="P15" i="2" s="1"/>
  <c r="E16" i="2"/>
  <c r="G16" i="2" s="1"/>
  <c r="N16" i="2"/>
  <c r="P16" i="2" s="1"/>
  <c r="E17" i="2"/>
  <c r="G17" i="2"/>
  <c r="N17" i="2"/>
  <c r="P17" i="2" s="1"/>
  <c r="E18" i="2"/>
  <c r="G18" i="2"/>
  <c r="N18" i="2"/>
  <c r="P18" i="2" s="1"/>
  <c r="E19" i="2"/>
  <c r="G19" i="2"/>
  <c r="N19" i="2"/>
  <c r="P19" i="2" s="1"/>
  <c r="E20" i="2"/>
  <c r="G20" i="2"/>
  <c r="N20" i="2"/>
  <c r="P20" i="2" s="1"/>
  <c r="N21" i="2"/>
  <c r="P21" i="2"/>
  <c r="E33" i="2"/>
  <c r="G33" i="2" s="1"/>
  <c r="H33" i="2" s="1"/>
  <c r="E34" i="2"/>
  <c r="G34" i="2" s="1"/>
  <c r="E35" i="2"/>
  <c r="G35" i="2"/>
  <c r="E36" i="2"/>
  <c r="G36" i="2" s="1"/>
  <c r="E37" i="2"/>
  <c r="G37" i="2" s="1"/>
  <c r="E38" i="2"/>
  <c r="G38" i="2" s="1"/>
  <c r="E39" i="2"/>
  <c r="G39" i="2"/>
  <c r="E40" i="2"/>
  <c r="G40" i="2" s="1"/>
  <c r="E41" i="2"/>
  <c r="G41" i="2" s="1"/>
  <c r="E42" i="2"/>
  <c r="G42" i="2" s="1"/>
  <c r="E43" i="2"/>
  <c r="G43" i="2"/>
  <c r="E44" i="2"/>
  <c r="G44" i="2" s="1"/>
  <c r="E45" i="2"/>
  <c r="G45" i="2"/>
  <c r="E46" i="2"/>
  <c r="G46" i="2" s="1"/>
  <c r="E47" i="2"/>
  <c r="G47" i="2"/>
  <c r="E48" i="2"/>
  <c r="G48" i="2" s="1"/>
  <c r="C8" i="1"/>
  <c r="M8" i="1" l="1"/>
  <c r="N7" i="1"/>
  <c r="H34" i="2"/>
  <c r="H35" i="2" s="1"/>
  <c r="H36" i="2" s="1"/>
  <c r="H37" i="2" s="1"/>
  <c r="H38" i="2" s="1"/>
  <c r="H39" i="2" s="1"/>
  <c r="H40" i="2" s="1"/>
  <c r="Q11" i="2"/>
  <c r="Q12" i="2" s="1"/>
  <c r="H11" i="2"/>
  <c r="H12" i="2" s="1"/>
  <c r="H13" i="2" s="1"/>
  <c r="Q13" i="2"/>
  <c r="Q14" i="2" s="1"/>
  <c r="H14" i="2"/>
  <c r="H15" i="2" s="1"/>
  <c r="H16" i="2" s="1"/>
  <c r="H17" i="2" s="1"/>
  <c r="H18" i="2" s="1"/>
  <c r="H19" i="2" s="1"/>
  <c r="H20" i="2" s="1"/>
  <c r="I25" i="2"/>
  <c r="H41" i="2"/>
  <c r="H42" i="2" s="1"/>
  <c r="H43" i="2" s="1"/>
  <c r="H44" i="2" s="1"/>
  <c r="H45" i="2" s="1"/>
  <c r="H46" i="2" s="1"/>
  <c r="H47" i="2" s="1"/>
  <c r="H48" i="2" s="1"/>
  <c r="I27" i="2"/>
  <c r="N8" i="1" l="1"/>
  <c r="O7" i="1"/>
  <c r="I26" i="2"/>
  <c r="Q15" i="2"/>
  <c r="O8" i="1" l="1"/>
  <c r="P7" i="1"/>
  <c r="P8" i="1" s="1"/>
  <c r="Q16" i="2"/>
  <c r="Q17" i="2" s="1"/>
  <c r="Q18" i="2" s="1"/>
  <c r="Q19" i="2" s="1"/>
  <c r="Q20" i="2" s="1"/>
  <c r="Q21" i="2" s="1"/>
  <c r="Q7" i="1" l="1"/>
  <c r="R7" i="1" l="1"/>
  <c r="Q8" i="1"/>
  <c r="S7" i="1" l="1"/>
  <c r="R8" i="1"/>
  <c r="S8" i="1" l="1"/>
  <c r="T7" i="1"/>
  <c r="T8" i="1" l="1"/>
  <c r="U7" i="1"/>
  <c r="V7" i="1" l="1"/>
  <c r="U8" i="1"/>
  <c r="W7" i="1" l="1"/>
  <c r="V8" i="1"/>
  <c r="W8" i="1" l="1"/>
  <c r="X7" i="1"/>
  <c r="X8" i="1" l="1"/>
  <c r="Y7" i="1"/>
  <c r="Y8" i="1" l="1"/>
  <c r="Z7" i="1"/>
  <c r="AA7" i="1" l="1"/>
  <c r="Z8" i="1"/>
  <c r="AA8" i="1" l="1"/>
  <c r="AB7" i="1"/>
  <c r="AC7" i="1" l="1"/>
  <c r="AB8" i="1"/>
  <c r="AD7" i="1" l="1"/>
  <c r="AD8" i="1" s="1"/>
  <c r="AC8" i="1"/>
</calcChain>
</file>

<file path=xl/sharedStrings.xml><?xml version="1.0" encoding="utf-8"?>
<sst xmlns="http://schemas.openxmlformats.org/spreadsheetml/2006/main" count="153" uniqueCount="95">
  <si>
    <t>DUCHESNE / STRAWBERRY REGULATION</t>
  </si>
  <si>
    <t>PRIORITY CUT</t>
  </si>
  <si>
    <r>
      <t>Water rights with a priority date later than the date shown above have been cut off.</t>
    </r>
    <r>
      <rPr>
        <b/>
        <sz val="10"/>
        <color indexed="8"/>
        <rFont val="Arial"/>
        <family val="2"/>
      </rPr>
      <t xml:space="preserve">  </t>
    </r>
    <r>
      <rPr>
        <b/>
        <sz val="10"/>
        <rFont val="Arial"/>
        <family val="2"/>
      </rPr>
      <t>Water use based on those rights must cease</t>
    </r>
    <r>
      <rPr>
        <b/>
        <sz val="10"/>
        <color indexed="8"/>
        <rFont val="Arial"/>
        <family val="2"/>
      </rPr>
      <t>.  Water users whose water rights have a priority date equal to or earlier than the above date may continue to use water.</t>
    </r>
  </si>
  <si>
    <t>STORAGE WATER DELIVERY</t>
  </si>
  <si>
    <t>WATER DELIVERED                                               BETWEEN THE DATES SHOWN BELOW</t>
  </si>
  <si>
    <t>CUMULATIVE TOTAL WATER DELIVERED FOR THE IRRIGATION SEASON</t>
  </si>
  <si>
    <t>DITCH COMPANY</t>
  </si>
  <si>
    <r>
      <t>NATURAL FLOW</t>
    </r>
    <r>
      <rPr>
        <sz val="10"/>
        <color theme="1"/>
        <rFont val="Arial"/>
        <family val="2"/>
      </rPr>
      <t xml:space="preserve">                    based on Water Rights                                     (Acre Feet)</t>
    </r>
  </si>
  <si>
    <r>
      <t>STORAGE</t>
    </r>
    <r>
      <rPr>
        <sz val="10"/>
        <color theme="1"/>
        <rFont val="Arial"/>
        <family val="2"/>
      </rPr>
      <t xml:space="preserve">                                  Includes both Project &amp; Block 1B Water                                                   (Acre Feet)</t>
    </r>
  </si>
  <si>
    <r>
      <t>TOTAL STORAGE</t>
    </r>
    <r>
      <rPr>
        <sz val="10"/>
        <color theme="1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USED</t>
    </r>
    <r>
      <rPr>
        <sz val="10"/>
        <color theme="1"/>
        <rFont val="Arial"/>
        <family val="2"/>
      </rPr>
      <t xml:space="preserve">                                 Includes both Project &amp; Block 1B Water                                                   (Acre Feet)</t>
    </r>
  </si>
  <si>
    <t>RHOADS CANAL</t>
  </si>
  <si>
    <t>TURNBOW DITCH</t>
  </si>
  <si>
    <t>FARM CREEK</t>
  </si>
  <si>
    <t>NEW TABBY CANAL</t>
  </si>
  <si>
    <t>HICKEN DITCH</t>
  </si>
  <si>
    <t>WPPBB PIPE</t>
  </si>
  <si>
    <t>JONES DITCH</t>
  </si>
  <si>
    <t>KNIGHT  PIPE</t>
  </si>
  <si>
    <t>SHANKS  PIPE</t>
  </si>
  <si>
    <t>PIONEER   CANAL</t>
  </si>
  <si>
    <t>ORCHARD MESA</t>
  </si>
  <si>
    <t>ROCKY POINT</t>
  </si>
  <si>
    <t>DUCHESNE FEEDER</t>
  </si>
  <si>
    <t>UINTAH BASIN IRRIG CO</t>
  </si>
  <si>
    <t>FISH PROJECT WATER</t>
  </si>
  <si>
    <t>DEFA DITCH</t>
  </si>
  <si>
    <t>WARM SPRINGS</t>
  </si>
  <si>
    <t>Total Storage to date</t>
  </si>
  <si>
    <t>Total</t>
  </si>
  <si>
    <t>COURT ORDERED DUTY SCHEDULE</t>
  </si>
  <si>
    <t>THE FOLLOWING DUTY SCHEDULES WERE IMPLEMENTED ON THE DATES SHOWN</t>
  </si>
  <si>
    <t xml:space="preserve">ZONE I  </t>
  </si>
  <si>
    <t xml:space="preserve">ZONE II  </t>
  </si>
  <si>
    <t xml:space="preserve">ZONE III  </t>
  </si>
  <si>
    <t>DELEVERY SCHEDULE "A"</t>
  </si>
  <si>
    <t>DELEVERY SCHEDULE "B"</t>
  </si>
  <si>
    <t>May1--October 15, 4.0 Acre-feet per Acre</t>
  </si>
  <si>
    <t>April 20--October 15, 4.0 Acre-feet per Acre</t>
  </si>
  <si>
    <t xml:space="preserve">Period                                 </t>
  </si>
  <si>
    <t xml:space="preserve">Duty                                </t>
  </si>
  <si>
    <t xml:space="preserve">Delivery                         </t>
  </si>
  <si>
    <t xml:space="preserve">Delivery                       </t>
  </si>
  <si>
    <t xml:space="preserve">Date   </t>
  </si>
  <si>
    <t>No. of Days</t>
  </si>
  <si>
    <t>CFS/Acres</t>
  </si>
  <si>
    <t>AF/Day</t>
  </si>
  <si>
    <t>AF/Period</t>
  </si>
  <si>
    <t>Accum AF</t>
  </si>
  <si>
    <t>May 1-15</t>
  </si>
  <si>
    <t>1/100</t>
  </si>
  <si>
    <t>Apr. 20-30</t>
  </si>
  <si>
    <t>1/145</t>
  </si>
  <si>
    <t>May 16-31</t>
  </si>
  <si>
    <t>1/60</t>
  </si>
  <si>
    <t>June 1-15</t>
  </si>
  <si>
    <t>1/85</t>
  </si>
  <si>
    <t>June 16-30</t>
  </si>
  <si>
    <t>1/65</t>
  </si>
  <si>
    <t>July 1-15</t>
  </si>
  <si>
    <t>1/70</t>
  </si>
  <si>
    <t>July 15-31</t>
  </si>
  <si>
    <t>1/80</t>
  </si>
  <si>
    <t>Aug. 1-15</t>
  </si>
  <si>
    <t>Aug. 16-31</t>
  </si>
  <si>
    <t>Sept. 1-15</t>
  </si>
  <si>
    <t>Sept. 16-30</t>
  </si>
  <si>
    <t>1/150</t>
  </si>
  <si>
    <t>Oct. 1-15</t>
  </si>
  <si>
    <t>1/200</t>
  </si>
  <si>
    <t>DELEVERY SCHEDULE "C"</t>
  </si>
  <si>
    <t>April 1--October 15, 4.0 Acre-feet per Acre</t>
  </si>
  <si>
    <t>April 1-15</t>
  </si>
  <si>
    <t>1/160</t>
  </si>
  <si>
    <t>April 16-30</t>
  </si>
  <si>
    <t>May 1-10</t>
  </si>
  <si>
    <t>1/125</t>
  </si>
  <si>
    <t>May 11-20</t>
  </si>
  <si>
    <t>1/90</t>
  </si>
  <si>
    <t>May 21-31</t>
  </si>
  <si>
    <t>June 1-10</t>
  </si>
  <si>
    <t>June 11-20</t>
  </si>
  <si>
    <t>1/75</t>
  </si>
  <si>
    <t>July 1-10</t>
  </si>
  <si>
    <t>July 11-20</t>
  </si>
  <si>
    <t>July 21-31</t>
  </si>
  <si>
    <t>1/250</t>
  </si>
  <si>
    <t>Red Creeks natural flows</t>
  </si>
  <si>
    <t>I also have taken reservoir elevation calculations, evaporation, and all other factors to determine flows.</t>
  </si>
  <si>
    <t>Date</t>
  </si>
  <si>
    <t>CFS</t>
  </si>
  <si>
    <t>Water measurements taken at Red Creek  to determine natural flow of Creek.</t>
  </si>
  <si>
    <t>June 21-30</t>
  </si>
  <si>
    <t>Elevation</t>
  </si>
  <si>
    <t>Volume A/F</t>
  </si>
  <si>
    <t>7/12024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</si>
</sst>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.0;[Red]0.0"/>
    <numFmt numFmtId="166" formatCode="0.00;[Red]0.00"/>
    <numFmt numFmtId="167" formatCode="0.00000"/>
    <numFmt numFmtId="168" formatCode="0.000"/>
    <numFmt numFmtId="169" formatCode="[$-409]mmmm\ d\,\ yyyy;@"/>
    <numFmt numFmtId="170" formatCode="0;[Red]0"/>
    <numFmt numFmtId="171" formatCode="m/d;@"/>
  </numFmts>
  <fonts count="18" x14ac:knownFonts="1">
    <font>
      <sz val="10"/>
      <color theme="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2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11" fillId="0" borderId="0"/>
    <xf numFmtId="0" fontId="10" fillId="0" borderId="0"/>
    <xf numFmtId="0" fontId="17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0" fillId="0" borderId="0" xfId="0" applyNumberFormat="1"/>
    <xf numFmtId="166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right" vertical="center"/>
    </xf>
    <xf numFmtId="14" fontId="0" fillId="0" borderId="5" xfId="0" applyNumberForma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/>
    <xf numFmtId="0" fontId="0" fillId="0" borderId="11" xfId="0" applyBorder="1"/>
    <xf numFmtId="0" fontId="5" fillId="0" borderId="10" xfId="0" applyFont="1" applyBorder="1"/>
    <xf numFmtId="0" fontId="5" fillId="0" borderId="0" xfId="0" applyFont="1"/>
    <xf numFmtId="0" fontId="0" fillId="0" borderId="10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0" borderId="0" xfId="0" applyNumberFormat="1"/>
    <xf numFmtId="168" fontId="0" fillId="0" borderId="0" xfId="0" applyNumberFormat="1"/>
    <xf numFmtId="168" fontId="0" fillId="0" borderId="11" xfId="0" applyNumberFormat="1" applyBorder="1"/>
    <xf numFmtId="17" fontId="0" fillId="0" borderId="0" xfId="0" quotePrefix="1" applyNumberFormat="1"/>
    <xf numFmtId="2" fontId="0" fillId="0" borderId="0" xfId="0" quotePrefix="1" applyNumberFormat="1"/>
    <xf numFmtId="17" fontId="0" fillId="0" borderId="0" xfId="0" applyNumberFormat="1"/>
    <xf numFmtId="0" fontId="0" fillId="0" borderId="12" xfId="0" applyBorder="1"/>
    <xf numFmtId="0" fontId="0" fillId="0" borderId="13" xfId="0" applyBorder="1"/>
    <xf numFmtId="17" fontId="0" fillId="0" borderId="6" xfId="0" applyNumberFormat="1" applyBorder="1"/>
    <xf numFmtId="167" fontId="0" fillId="0" borderId="6" xfId="0" applyNumberFormat="1" applyBorder="1"/>
    <xf numFmtId="168" fontId="0" fillId="0" borderId="6" xfId="0" applyNumberFormat="1" applyBorder="1"/>
    <xf numFmtId="168" fontId="0" fillId="0" borderId="13" xfId="0" applyNumberFormat="1" applyBorder="1"/>
    <xf numFmtId="49" fontId="0" fillId="0" borderId="0" xfId="0" applyNumberFormat="1"/>
    <xf numFmtId="49" fontId="0" fillId="0" borderId="0" xfId="0" quotePrefix="1" applyNumberFormat="1"/>
    <xf numFmtId="0" fontId="0" fillId="0" borderId="0" xfId="0" applyAlignment="1">
      <alignment vertical="center"/>
    </xf>
    <xf numFmtId="0" fontId="13" fillId="0" borderId="0" xfId="0" applyFont="1"/>
    <xf numFmtId="169" fontId="0" fillId="0" borderId="0" xfId="0" applyNumberFormat="1"/>
    <xf numFmtId="0" fontId="14" fillId="0" borderId="0" xfId="0" applyFont="1"/>
    <xf numFmtId="0" fontId="12" fillId="0" borderId="0" xfId="0" applyFont="1"/>
    <xf numFmtId="0" fontId="15" fillId="0" borderId="0" xfId="0" applyFont="1"/>
    <xf numFmtId="170" fontId="0" fillId="0" borderId="0" xfId="0" applyNumberFormat="1"/>
    <xf numFmtId="14" fontId="2" fillId="0" borderId="14" xfId="0" applyNumberFormat="1" applyFont="1" applyBorder="1" applyAlignment="1">
      <alignment horizontal="center" vertical="center"/>
    </xf>
    <xf numFmtId="14" fontId="12" fillId="0" borderId="15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2" borderId="0" xfId="0" applyFill="1"/>
    <xf numFmtId="168" fontId="0" fillId="2" borderId="0" xfId="0" applyNumberFormat="1" applyFill="1"/>
    <xf numFmtId="17" fontId="0" fillId="2" borderId="0" xfId="0" quotePrefix="1" applyNumberFormat="1" applyFill="1"/>
    <xf numFmtId="167" fontId="0" fillId="2" borderId="0" xfId="0" applyNumberFormat="1" applyFill="1"/>
    <xf numFmtId="0" fontId="0" fillId="2" borderId="10" xfId="0" applyFill="1" applyBorder="1"/>
    <xf numFmtId="168" fontId="0" fillId="2" borderId="11" xfId="0" applyNumberFormat="1" applyFill="1" applyBorder="1"/>
    <xf numFmtId="49" fontId="0" fillId="2" borderId="0" xfId="0" quotePrefix="1" applyNumberFormat="1" applyFill="1"/>
    <xf numFmtId="170" fontId="7" fillId="0" borderId="16" xfId="4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9" fontId="7" fillId="0" borderId="0" xfId="0" applyNumberFormat="1" applyFont="1" applyAlignment="1">
      <alignment horizontal="right" vertical="top" wrapText="1"/>
    </xf>
    <xf numFmtId="170" fontId="9" fillId="0" borderId="0" xfId="4" applyNumberFormat="1" applyAlignment="1">
      <alignment horizontal="center" vertical="center"/>
    </xf>
    <xf numFmtId="170" fontId="0" fillId="0" borderId="0" xfId="0" applyNumberFormat="1" applyAlignment="1">
      <alignment horizontal="center"/>
    </xf>
    <xf numFmtId="171" fontId="2" fillId="0" borderId="16" xfId="0" applyNumberFormat="1" applyFont="1" applyBorder="1" applyAlignment="1">
      <alignment horizontal="center" vertical="center" wrapText="1"/>
    </xf>
    <xf numFmtId="171" fontId="2" fillId="0" borderId="1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4" fontId="0" fillId="0" borderId="10" xfId="0" applyNumberFormat="1" applyBorder="1" applyAlignment="1">
      <alignment vertical="center"/>
    </xf>
    <xf numFmtId="171" fontId="2" fillId="0" borderId="0" xfId="0" applyNumberFormat="1" applyFont="1" applyAlignment="1">
      <alignment horizontal="center" vertical="center"/>
    </xf>
    <xf numFmtId="171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70" fontId="16" fillId="0" borderId="0" xfId="0" applyNumberFormat="1" applyFont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170" fontId="7" fillId="0" borderId="16" xfId="0" applyNumberFormat="1" applyFont="1" applyBorder="1" applyAlignment="1">
      <alignment horizontal="center"/>
    </xf>
    <xf numFmtId="170" fontId="7" fillId="0" borderId="17" xfId="0" applyNumberFormat="1" applyFont="1" applyBorder="1" applyAlignment="1">
      <alignment horizontal="center" vertical="center"/>
    </xf>
    <xf numFmtId="170" fontId="7" fillId="0" borderId="16" xfId="0" applyNumberFormat="1" applyFont="1" applyBorder="1" applyAlignment="1">
      <alignment horizontal="center" vertical="center"/>
    </xf>
    <xf numFmtId="170" fontId="7" fillId="0" borderId="16" xfId="7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" fontId="7" fillId="0" borderId="0" xfId="0" applyNumberFormat="1" applyFont="1" applyAlignment="1">
      <alignment horizontal="center" vertical="center"/>
    </xf>
    <xf numFmtId="170" fontId="7" fillId="0" borderId="0" xfId="0" applyNumberFormat="1" applyFont="1" applyAlignment="1">
      <alignment horizontal="center"/>
    </xf>
    <xf numFmtId="170" fontId="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2" fillId="0" borderId="16" xfId="0" applyNumberFormat="1" applyFont="1" applyBorder="1" applyAlignment="1">
      <alignment horizontal="center"/>
    </xf>
    <xf numFmtId="0" fontId="7" fillId="0" borderId="16" xfId="0" applyFont="1" applyBorder="1"/>
    <xf numFmtId="0" fontId="7" fillId="0" borderId="0" xfId="0" applyFont="1"/>
    <xf numFmtId="170" fontId="2" fillId="0" borderId="0" xfId="0" applyNumberFormat="1" applyFont="1" applyAlignment="1">
      <alignment horizontal="center"/>
    </xf>
    <xf numFmtId="170" fontId="7" fillId="0" borderId="0" xfId="4" applyNumberFormat="1" applyFont="1" applyAlignment="1">
      <alignment horizontal="center" vertical="center"/>
    </xf>
    <xf numFmtId="170" fontId="7" fillId="0" borderId="0" xfId="7" applyNumberFormat="1" applyFont="1" applyAlignment="1">
      <alignment horizontal="center" vertical="center"/>
    </xf>
    <xf numFmtId="170" fontId="16" fillId="0" borderId="0" xfId="7" applyNumberFormat="1" applyFont="1" applyAlignment="1">
      <alignment horizontal="center" vertical="center"/>
    </xf>
    <xf numFmtId="165" fontId="16" fillId="0" borderId="0" xfId="7" applyNumberFormat="1" applyFont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" fontId="7" fillId="0" borderId="16" xfId="1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2" fontId="0" fillId="0" borderId="0" xfId="0" applyNumberFormat="1"/>
    <xf numFmtId="170" fontId="7" fillId="0" borderId="16" xfId="0" applyNumberFormat="1" applyFont="1" applyBorder="1"/>
    <xf numFmtId="170" fontId="7" fillId="0" borderId="4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7" fillId="0" borderId="0" xfId="8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</cellXfs>
  <cellStyles count="9">
    <cellStyle name="Hyperlink" xfId="8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4" xfId="4" xr:uid="{00000000-0005-0000-0000-000004000000}"/>
    <cellStyle name="Normal 4 2" xfId="5" xr:uid="{00000000-0005-0000-0000-000005000000}"/>
    <cellStyle name="Normal 5" xfId="6" xr:uid="{00000000-0005-0000-0000-000006000000}"/>
    <cellStyle name="Normal 6" xfId="7" xr:uid="{00000000-0005-0000-0000-000007000000}"/>
  </cellStyles>
  <dxfs count="9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65" formatCode="0.0;[Red]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;[Red]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65" formatCode="0.0;[Red]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;[Red]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0;[Red]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0;[Red]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590D7E-8EE3-44D6-8DB7-10F58B5A02C6}" name="Table2" displayName="Table2" ref="A11:AE29" headerRowCount="0" totalsRowCount="1" headerRowDxfId="98" dataDxfId="96" totalsRowDxfId="94" headerRowBorderDxfId="97" tableBorderDxfId="95" totalsRowBorderDxfId="93">
  <tableColumns count="31">
    <tableColumn id="1" xr3:uid="{CD77CEC6-C84B-44C9-B1D2-1A2A9CFB23A9}" name="Column1" totalsRowLabel="Total" headerRowDxfId="92" dataDxfId="91" totalsRowDxfId="90"/>
    <tableColumn id="2" xr3:uid="{E523CEC2-B533-4FB7-A17F-2020FDCBA74A}" name="Column2" totalsRowFunction="sum" headerRowDxfId="89" dataDxfId="88" totalsRowDxfId="87" headerRowCellStyle="Normal 2"/>
    <tableColumn id="3" xr3:uid="{C19620FD-EC92-4055-9D89-1E6253F325E3}" name="Column3" totalsRowFunction="sum" headerRowDxfId="86" dataDxfId="85" totalsRowDxfId="84"/>
    <tableColumn id="4" xr3:uid="{1FF6C604-9EC5-445A-A161-9A9807DB736B}" name="Column4" totalsRowFunction="sum" headerRowDxfId="83" dataDxfId="82" totalsRowDxfId="81">
      <calculatedColumnFormula>SUM(K11:AD11)</calculatedColumnFormula>
    </tableColumn>
    <tableColumn id="5" xr3:uid="{AF698F18-6FD4-4F4C-97FA-EB6741A7018D}" name="Column5" totalsRowFunction="sum" headerRowDxfId="80" dataDxfId="79" totalsRowDxfId="78"/>
    <tableColumn id="6" xr3:uid="{83442842-B431-47D6-945E-260F8F5B04A5}" name="Column6" totalsRowFunction="sum" headerRowDxfId="77" dataDxfId="76" totalsRowDxfId="75"/>
    <tableColumn id="7" xr3:uid="{A3FBA442-40DB-4514-9747-0DA694DE5B72}" name="Column7" totalsRowFunction="sum" headerRowDxfId="74" dataDxfId="73" totalsRowDxfId="72"/>
    <tableColumn id="8" xr3:uid="{3D11561A-93EE-43A1-B3DF-9B07D04A533D}" name="Column8" totalsRowFunction="sum" headerRowDxfId="71" dataDxfId="70" totalsRowDxfId="69" headerRowCellStyle="Normal 4" dataCellStyle="Normal 4"/>
    <tableColumn id="9" xr3:uid="{2D8A82A7-D4E7-4569-BCD1-68046A7F968A}" name="Column9" totalsRowFunction="sum" headerRowDxfId="68" dataDxfId="67" totalsRowDxfId="66" headerRowCellStyle="Normal 4" dataCellStyle="Normal 4"/>
    <tableColumn id="10" xr3:uid="{2C3EF90C-3247-44BD-8EEF-1F115C292EE8}" name="Column10" totalsRowFunction="sum" headerRowDxfId="65" dataDxfId="64" totalsRowDxfId="63" headerRowCellStyle="Normal 4" dataCellStyle="Normal 4"/>
    <tableColumn id="11" xr3:uid="{D89392FE-51B3-429B-B545-D2731A88D3A3}" name="Column11" totalsRowFunction="sum" headerRowDxfId="62" dataDxfId="61" totalsRowDxfId="60" headerRowCellStyle="Normal 4" dataCellStyle="Normal 4"/>
    <tableColumn id="12" xr3:uid="{4E56BA40-3DED-4822-95D7-F9FB426E5919}" name="Column12" totalsRowFunction="sum" headerRowDxfId="59" dataDxfId="58" totalsRowDxfId="57" headerRowCellStyle="Normal 4" dataCellStyle="Normal 4"/>
    <tableColumn id="13" xr3:uid="{5FA9012D-E3C5-4060-83E6-88DE9EC337FE}" name="Column13" totalsRowFunction="sum" headerRowDxfId="56" dataDxfId="55" totalsRowDxfId="54" headerRowCellStyle="Normal 4"/>
    <tableColumn id="14" xr3:uid="{E0BE697A-26BE-420E-AAFA-6FFB9AC89360}" name="Column14" totalsRowFunction="sum" headerRowDxfId="53" dataDxfId="52" totalsRowDxfId="51"/>
    <tableColumn id="15" xr3:uid="{B196CB96-C9D1-4BAB-868A-FAAE7323254C}" name="Column15" totalsRowFunction="sum" headerRowDxfId="50" dataDxfId="49" totalsRowDxfId="48"/>
    <tableColumn id="16" xr3:uid="{423BF5A3-CEF5-48F0-BF05-2FF988157FF2}" name="Column16" totalsRowFunction="sum" headerRowDxfId="47" dataDxfId="46" totalsRowDxfId="45" headerRowCellStyle="Normal 6" dataCellStyle="Normal 6"/>
    <tableColumn id="17" xr3:uid="{84FDEC7A-0084-4CAF-B194-80EB6A78AA00}" name="Column17" totalsRowFunction="sum" headerRowDxfId="44" dataDxfId="43" totalsRowDxfId="42" headerRowCellStyle="Normal 6" dataCellStyle="Normal 6"/>
    <tableColumn id="18" xr3:uid="{3B71DEAF-AA63-432A-98DB-B828A847742C}" name="Column18" totalsRowFunction="sum" headerRowDxfId="41" dataDxfId="40" totalsRowDxfId="39" headerRowCellStyle="Normal 6" dataCellStyle="Normal 6"/>
    <tableColumn id="19" xr3:uid="{C412C2F1-14C8-4D3F-BABD-2E9F140FEAE4}" name="Column19" totalsRowFunction="sum" headerRowDxfId="38" dataDxfId="37" totalsRowDxfId="36"/>
    <tableColumn id="20" xr3:uid="{6B72DDFF-81A2-4A96-84E7-6CA787A307BC}" name="Column20" totalsRowFunction="sum" headerRowDxfId="35" dataDxfId="34" totalsRowDxfId="33" headerRowCellStyle="Normal 6" dataCellStyle="Normal 6"/>
    <tableColumn id="21" xr3:uid="{417752D2-F146-470A-96FE-1E598A8E374B}" name="Column21" totalsRowFunction="sum" headerRowDxfId="32" dataDxfId="31" totalsRowDxfId="30" headerRowCellStyle="Normal 6" dataCellStyle="Normal 6"/>
    <tableColumn id="22" xr3:uid="{ED0F85F1-74AE-47AD-A17F-5E948A0D3415}" name="Column22" totalsRowFunction="sum" headerRowDxfId="29" dataDxfId="28" totalsRowDxfId="27" headerRowCellStyle="Normal 6" dataCellStyle="Normal 6"/>
    <tableColumn id="23" xr3:uid="{76D422F6-B92A-4F87-A910-A1C8B5EF724D}" name="Column23" totalsRowFunction="sum" headerRowDxfId="26" dataDxfId="25" totalsRowDxfId="24"/>
    <tableColumn id="24" xr3:uid="{1C03BE49-086F-481B-AC58-EB6508B3F87F}" name="Column24" totalsRowFunction="sum" headerRowDxfId="23" dataDxfId="22" totalsRowDxfId="21" headerRowCellStyle="Normal 6" dataCellStyle="Normal 6"/>
    <tableColumn id="25" xr3:uid="{CEF4BE4B-242C-482E-A181-E5C02FE1B5F7}" name="Column25" totalsRowFunction="sum" headerRowDxfId="20" dataDxfId="19" totalsRowDxfId="18" headerRowCellStyle="Normal 6" dataCellStyle="Normal 6"/>
    <tableColumn id="26" xr3:uid="{108C0AF8-DFB2-4F19-A347-9610A2D52F9A}" name="Column26" totalsRowFunction="sum" headerRowDxfId="17" dataDxfId="16" totalsRowDxfId="15" headerRowCellStyle="Normal 6" dataCellStyle="Normal 6"/>
    <tableColumn id="27" xr3:uid="{E00AFD22-E028-4A08-8F1F-8794DA4C53E1}" name="Column27" totalsRowFunction="sum" headerRowDxfId="14" dataDxfId="13" totalsRowDxfId="12"/>
    <tableColumn id="28" xr3:uid="{72504D63-6470-4D56-84EA-987419221970}" name="Column28" totalsRowFunction="sum" headerRowDxfId="11" dataDxfId="10" totalsRowDxfId="9"/>
    <tableColumn id="29" xr3:uid="{D8668C9D-DE62-4EE6-B692-7E6EB3686218}" name="Column29" totalsRowFunction="sum" headerRowDxfId="8" dataDxfId="7" totalsRowDxfId="6"/>
    <tableColumn id="30" xr3:uid="{98BFE4FF-2CC9-456E-9EE0-611D4BE4F86A}" name="Column30" totalsRowFunction="sum" headerRowDxfId="5" dataDxfId="4" totalsRowDxfId="3"/>
    <tableColumn id="31" xr3:uid="{724444D3-0492-4F72-806B-0E07EFC055AE}" name="Column31" headerRowDxfId="2" dataDxfId="1" totalsRowDxfId="0"/>
  </tableColumns>
  <tableStyleInfo name="TableStyleLight18" showFirstColumn="1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aterrights.utah.gov/cgi-bin/dvrtview.exe?Modinfo=SysStations&amp;SYSTEM_NAME=DUCHESNE+RIVER&amp;RECORD_YEAR=2008" TargetMode="External"/><Relationship Id="rId1" Type="http://schemas.openxmlformats.org/officeDocument/2006/relationships/hyperlink" Target="https://waterrights.utah.gov/docImport/0542/05422526.pdf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41"/>
  <sheetViews>
    <sheetView tabSelected="1" zoomScale="89" zoomScaleNormal="89" workbookViewId="0">
      <pane xSplit="4" topLeftCell="P1" activePane="topRight" state="frozen"/>
      <selection pane="topRight" activeCell="S38" sqref="S38"/>
    </sheetView>
  </sheetViews>
  <sheetFormatPr defaultRowHeight="19.5" customHeight="1" x14ac:dyDescent="0.2"/>
  <cols>
    <col min="1" max="1" width="23.7109375" customWidth="1"/>
    <col min="2" max="2" width="20.5703125" customWidth="1"/>
    <col min="3" max="3" width="20.42578125" customWidth="1"/>
    <col min="4" max="4" width="26" customWidth="1"/>
    <col min="5" max="5" width="8.85546875" hidden="1" customWidth="1"/>
    <col min="6" max="6" width="9.28515625" hidden="1" customWidth="1"/>
    <col min="7" max="10" width="9.140625" hidden="1" customWidth="1"/>
    <col min="11" max="15" width="12.5703125" hidden="1" customWidth="1"/>
    <col min="16" max="30" width="12.5703125" customWidth="1"/>
    <col min="31" max="32" width="9.140625" customWidth="1"/>
  </cols>
  <sheetData>
    <row r="1" spans="1:33" ht="19.5" customHeight="1" thickBot="1" x14ac:dyDescent="0.25">
      <c r="A1" s="104" t="s">
        <v>0</v>
      </c>
      <c r="B1" s="104"/>
      <c r="C1" s="104"/>
    </row>
    <row r="2" spans="1:33" ht="20.25" customHeight="1" thickBot="1" x14ac:dyDescent="0.25">
      <c r="A2" s="2"/>
      <c r="B2" s="1"/>
      <c r="C2" s="2"/>
    </row>
    <row r="3" spans="1:33" ht="19.5" customHeight="1" thickBot="1" x14ac:dyDescent="0.25">
      <c r="A3" s="3" t="s">
        <v>1</v>
      </c>
      <c r="B3" s="47">
        <v>36526</v>
      </c>
      <c r="C3" s="39"/>
    </row>
    <row r="4" spans="1:33" ht="56.25" customHeight="1" x14ac:dyDescent="0.2">
      <c r="A4" s="105" t="s">
        <v>2</v>
      </c>
      <c r="B4" s="106"/>
      <c r="C4" s="106"/>
      <c r="D4" s="4"/>
    </row>
    <row r="5" spans="1:33" ht="15" customHeight="1" x14ac:dyDescent="0.2">
      <c r="A5" s="5"/>
      <c r="D5" s="4"/>
    </row>
    <row r="6" spans="1:33" ht="28.5" customHeight="1" thickBot="1" x14ac:dyDescent="0.25">
      <c r="A6" s="107" t="s">
        <v>3</v>
      </c>
      <c r="B6" s="108"/>
      <c r="C6" s="39"/>
      <c r="D6" s="4"/>
    </row>
    <row r="7" spans="1:33" ht="26.25" customHeight="1" x14ac:dyDescent="0.2">
      <c r="A7" s="6"/>
      <c r="B7" s="109" t="s">
        <v>4</v>
      </c>
      <c r="C7" s="110"/>
      <c r="D7" s="99" t="s">
        <v>5</v>
      </c>
      <c r="E7" s="62">
        <v>45397</v>
      </c>
      <c r="F7" s="63">
        <f>E7+7</f>
        <v>45404</v>
      </c>
      <c r="G7" s="63">
        <f t="shared" ref="G7:AD7" si="0">F7+7</f>
        <v>45411</v>
      </c>
      <c r="H7" s="63">
        <f t="shared" si="0"/>
        <v>45418</v>
      </c>
      <c r="I7" s="63">
        <f t="shared" si="0"/>
        <v>45425</v>
      </c>
      <c r="J7" s="63">
        <f t="shared" si="0"/>
        <v>45432</v>
      </c>
      <c r="K7" s="63">
        <f t="shared" si="0"/>
        <v>45439</v>
      </c>
      <c r="L7" s="63">
        <f t="shared" si="0"/>
        <v>45446</v>
      </c>
      <c r="M7" s="63">
        <f t="shared" si="0"/>
        <v>45453</v>
      </c>
      <c r="N7" s="63">
        <f t="shared" si="0"/>
        <v>45460</v>
      </c>
      <c r="O7" s="63">
        <f t="shared" si="0"/>
        <v>45467</v>
      </c>
      <c r="P7" s="63">
        <f t="shared" si="0"/>
        <v>45474</v>
      </c>
      <c r="Q7" s="63">
        <f t="shared" si="0"/>
        <v>45481</v>
      </c>
      <c r="R7" s="63">
        <f t="shared" si="0"/>
        <v>45488</v>
      </c>
      <c r="S7" s="63">
        <f t="shared" si="0"/>
        <v>45495</v>
      </c>
      <c r="T7" s="63">
        <f t="shared" si="0"/>
        <v>45502</v>
      </c>
      <c r="U7" s="63">
        <f t="shared" si="0"/>
        <v>45509</v>
      </c>
      <c r="V7" s="63">
        <f t="shared" si="0"/>
        <v>45516</v>
      </c>
      <c r="W7" s="63">
        <f t="shared" si="0"/>
        <v>45523</v>
      </c>
      <c r="X7" s="63">
        <f t="shared" si="0"/>
        <v>45530</v>
      </c>
      <c r="Y7" s="63">
        <f t="shared" si="0"/>
        <v>45537</v>
      </c>
      <c r="Z7" s="63">
        <f t="shared" si="0"/>
        <v>45544</v>
      </c>
      <c r="AA7" s="63">
        <f t="shared" si="0"/>
        <v>45551</v>
      </c>
      <c r="AB7" s="63">
        <f t="shared" si="0"/>
        <v>45558</v>
      </c>
      <c r="AC7" s="63">
        <f t="shared" si="0"/>
        <v>45565</v>
      </c>
      <c r="AD7" s="63">
        <f t="shared" si="0"/>
        <v>45572</v>
      </c>
      <c r="AE7" s="63"/>
      <c r="AF7" s="67"/>
      <c r="AG7" s="66"/>
    </row>
    <row r="8" spans="1:33" ht="19.5" customHeight="1" thickBot="1" x14ac:dyDescent="0.25">
      <c r="A8" s="6"/>
      <c r="B8" s="57">
        <v>45572</v>
      </c>
      <c r="C8" s="46">
        <f>B8+6</f>
        <v>45578</v>
      </c>
      <c r="D8" s="101"/>
      <c r="E8" s="62">
        <f>E7+6</f>
        <v>45403</v>
      </c>
      <c r="F8" s="62">
        <f>F7+6</f>
        <v>45410</v>
      </c>
      <c r="G8" s="62">
        <f t="shared" ref="G8:AD8" si="1">G7+6</f>
        <v>45417</v>
      </c>
      <c r="H8" s="62">
        <f t="shared" si="1"/>
        <v>45424</v>
      </c>
      <c r="I8" s="62">
        <f t="shared" si="1"/>
        <v>45431</v>
      </c>
      <c r="J8" s="62">
        <f t="shared" si="1"/>
        <v>45438</v>
      </c>
      <c r="K8" s="62">
        <f t="shared" si="1"/>
        <v>45445</v>
      </c>
      <c r="L8" s="62">
        <f t="shared" si="1"/>
        <v>45452</v>
      </c>
      <c r="M8" s="62">
        <f t="shared" si="1"/>
        <v>45459</v>
      </c>
      <c r="N8" s="62">
        <f t="shared" si="1"/>
        <v>45466</v>
      </c>
      <c r="O8" s="62">
        <f t="shared" si="1"/>
        <v>45473</v>
      </c>
      <c r="P8" s="62">
        <f t="shared" si="1"/>
        <v>45480</v>
      </c>
      <c r="Q8" s="62">
        <f t="shared" si="1"/>
        <v>45487</v>
      </c>
      <c r="R8" s="62">
        <f t="shared" si="1"/>
        <v>45494</v>
      </c>
      <c r="S8" s="62">
        <f t="shared" si="1"/>
        <v>45501</v>
      </c>
      <c r="T8" s="62">
        <f t="shared" si="1"/>
        <v>45508</v>
      </c>
      <c r="U8" s="62">
        <f t="shared" si="1"/>
        <v>45515</v>
      </c>
      <c r="V8" s="62">
        <f t="shared" si="1"/>
        <v>45522</v>
      </c>
      <c r="W8" s="62">
        <f t="shared" si="1"/>
        <v>45529</v>
      </c>
      <c r="X8" s="62">
        <f t="shared" si="1"/>
        <v>45536</v>
      </c>
      <c r="Y8" s="62">
        <f t="shared" si="1"/>
        <v>45543</v>
      </c>
      <c r="Z8" s="62">
        <f t="shared" si="1"/>
        <v>45550</v>
      </c>
      <c r="AA8" s="62">
        <f t="shared" si="1"/>
        <v>45557</v>
      </c>
      <c r="AB8" s="62">
        <f t="shared" si="1"/>
        <v>45564</v>
      </c>
      <c r="AC8" s="62">
        <f t="shared" si="1"/>
        <v>45571</v>
      </c>
      <c r="AD8" s="62">
        <f t="shared" si="1"/>
        <v>45578</v>
      </c>
      <c r="AE8" s="84"/>
    </row>
    <row r="9" spans="1:33" ht="57" customHeight="1" x14ac:dyDescent="0.2">
      <c r="A9" s="93" t="s">
        <v>6</v>
      </c>
      <c r="B9" s="7" t="s">
        <v>7</v>
      </c>
      <c r="C9" s="8" t="s">
        <v>8</v>
      </c>
      <c r="D9" s="58" t="s">
        <v>9</v>
      </c>
      <c r="E9" s="65"/>
      <c r="F9" s="48"/>
      <c r="G9" s="48"/>
      <c r="H9" s="48"/>
      <c r="I9" s="48"/>
      <c r="J9" s="48"/>
      <c r="K9" s="48"/>
      <c r="L9" s="48"/>
      <c r="M9" s="48"/>
      <c r="N9" s="48"/>
      <c r="O9" s="48"/>
      <c r="P9" s="64"/>
      <c r="Q9" s="48"/>
    </row>
    <row r="11" spans="1:33" ht="19.5" customHeight="1" x14ac:dyDescent="0.2">
      <c r="A11" s="73" t="s">
        <v>10</v>
      </c>
      <c r="B11" s="94">
        <v>90.024695038249988</v>
      </c>
      <c r="C11" s="74"/>
      <c r="D11" s="75">
        <f>SUM(E11:AD11)</f>
        <v>-1086.8901860586225</v>
      </c>
      <c r="E11" s="76"/>
      <c r="F11" s="76"/>
      <c r="G11" s="76"/>
      <c r="H11" s="56"/>
      <c r="I11" s="56"/>
      <c r="J11" s="56"/>
      <c r="K11" s="56"/>
      <c r="L11" s="56"/>
      <c r="M11" s="56"/>
      <c r="N11" s="76"/>
      <c r="O11" s="76"/>
      <c r="P11" s="77"/>
      <c r="Q11" s="77"/>
      <c r="R11" s="77"/>
      <c r="S11" s="76">
        <v>-145.09667374825</v>
      </c>
      <c r="T11" s="77">
        <v>-156.69177770749999</v>
      </c>
      <c r="U11" s="77">
        <v>-169.92251448549999</v>
      </c>
      <c r="V11" s="77">
        <v>-146.46338937929409</v>
      </c>
      <c r="W11" s="76">
        <v>-54</v>
      </c>
      <c r="X11" s="77">
        <v>-71.111896266411733</v>
      </c>
      <c r="Y11" s="77">
        <v>-102</v>
      </c>
      <c r="Z11" s="77">
        <v>-113.28342174799999</v>
      </c>
      <c r="AA11" s="76">
        <v>-79.320512723666653</v>
      </c>
      <c r="AB11" s="76">
        <v>-49</v>
      </c>
      <c r="AC11" s="76"/>
      <c r="AD11" s="98"/>
      <c r="AE11" s="85"/>
    </row>
    <row r="12" spans="1:33" ht="19.5" customHeight="1" x14ac:dyDescent="0.2">
      <c r="A12" s="73" t="s">
        <v>11</v>
      </c>
      <c r="B12" s="94">
        <v>11.6024069385</v>
      </c>
      <c r="C12" s="74"/>
      <c r="D12" s="75">
        <f t="shared" ref="D12:D27" si="2">SUM(E12:AD12)</f>
        <v>-37.237279608887263</v>
      </c>
      <c r="E12" s="76"/>
      <c r="F12" s="76"/>
      <c r="G12" s="76"/>
      <c r="H12" s="56"/>
      <c r="I12" s="56"/>
      <c r="J12" s="56"/>
      <c r="K12" s="56"/>
      <c r="L12" s="56"/>
      <c r="M12" s="76"/>
      <c r="N12" s="76"/>
      <c r="O12" s="76"/>
      <c r="P12" s="77"/>
      <c r="Q12" s="77"/>
      <c r="R12" s="77"/>
      <c r="S12" s="76">
        <v>-4.1427390287500003</v>
      </c>
      <c r="T12" s="77">
        <v>-8.7124059749999994</v>
      </c>
      <c r="U12" s="77">
        <v>-8.7124059749999994</v>
      </c>
      <c r="V12" s="77">
        <v>-6.2176075764705878</v>
      </c>
      <c r="W12" s="76"/>
      <c r="X12" s="77"/>
      <c r="Y12" s="77"/>
      <c r="Z12" s="77">
        <v>-0.93402602300000126</v>
      </c>
      <c r="AA12" s="76">
        <v>-7.2342540153333346</v>
      </c>
      <c r="AB12" s="76">
        <v>-1.2838410153333335</v>
      </c>
      <c r="AC12" s="76"/>
      <c r="AD12" s="98"/>
      <c r="AE12" s="85"/>
    </row>
    <row r="13" spans="1:33" ht="19.5" customHeight="1" x14ac:dyDescent="0.2">
      <c r="A13" s="73" t="s">
        <v>12</v>
      </c>
      <c r="B13" s="94">
        <v>113.091566007</v>
      </c>
      <c r="C13" s="74"/>
      <c r="D13" s="75">
        <f t="shared" si="2"/>
        <v>-520.49933571523513</v>
      </c>
      <c r="E13" s="76"/>
      <c r="F13" s="76"/>
      <c r="G13" s="76"/>
      <c r="H13" s="56"/>
      <c r="I13" s="56"/>
      <c r="J13" s="56"/>
      <c r="K13" s="56"/>
      <c r="L13" s="56"/>
      <c r="M13" s="56"/>
      <c r="N13" s="76"/>
      <c r="O13" s="76"/>
      <c r="P13" s="77"/>
      <c r="Q13" s="77"/>
      <c r="R13" s="77"/>
      <c r="S13" s="76">
        <v>-82.415353908999975</v>
      </c>
      <c r="T13" s="77">
        <v>-144.92416273124996</v>
      </c>
      <c r="U13" s="77">
        <v>-147.97920093774997</v>
      </c>
      <c r="V13" s="77">
        <v>-93.889404233235268</v>
      </c>
      <c r="W13" s="76"/>
      <c r="X13" s="77"/>
      <c r="Y13" s="77">
        <v>-34.118995063999989</v>
      </c>
      <c r="Z13" s="77">
        <v>-17.172218839999971</v>
      </c>
      <c r="AA13" s="76"/>
      <c r="AB13" s="76"/>
      <c r="AC13" s="76"/>
      <c r="AD13" s="98"/>
      <c r="AE13" s="85"/>
    </row>
    <row r="14" spans="1:33" ht="19.5" customHeight="1" x14ac:dyDescent="0.2">
      <c r="A14" s="73" t="s">
        <v>13</v>
      </c>
      <c r="B14" s="94">
        <v>35.387106111000001</v>
      </c>
      <c r="C14" s="74"/>
      <c r="D14" s="75">
        <f t="shared" si="2"/>
        <v>-346.7228169899999</v>
      </c>
      <c r="E14" s="76"/>
      <c r="F14" s="76"/>
      <c r="G14" s="76"/>
      <c r="H14" s="56"/>
      <c r="I14" s="56"/>
      <c r="J14" s="56"/>
      <c r="K14" s="56"/>
      <c r="L14" s="56"/>
      <c r="M14" s="56"/>
      <c r="N14" s="76"/>
      <c r="O14" s="76"/>
      <c r="P14" s="77"/>
      <c r="Q14" s="77"/>
      <c r="R14" s="77"/>
      <c r="S14" s="76">
        <v>-26.889502342499981</v>
      </c>
      <c r="T14" s="77">
        <v>-113.58821235124998</v>
      </c>
      <c r="U14" s="77">
        <v>-128.88077376125</v>
      </c>
      <c r="V14" s="77">
        <v>-77.364328534999984</v>
      </c>
      <c r="W14" s="76"/>
      <c r="X14" s="77"/>
      <c r="Y14" s="77"/>
      <c r="Z14" s="77"/>
      <c r="AA14" s="76"/>
      <c r="AB14" s="76"/>
      <c r="AC14" s="76"/>
      <c r="AD14" s="98"/>
      <c r="AE14" s="85"/>
    </row>
    <row r="15" spans="1:33" ht="19.5" customHeight="1" x14ac:dyDescent="0.2">
      <c r="A15" s="73" t="s">
        <v>14</v>
      </c>
      <c r="B15" s="94">
        <v>38.686491441499996</v>
      </c>
      <c r="C15" s="74"/>
      <c r="D15" s="75">
        <f t="shared" si="2"/>
        <v>-225.70452620937243</v>
      </c>
      <c r="E15" s="76"/>
      <c r="F15" s="76"/>
      <c r="G15" s="76"/>
      <c r="H15" s="56"/>
      <c r="I15" s="56"/>
      <c r="J15" s="56"/>
      <c r="K15" s="56"/>
      <c r="L15" s="56"/>
      <c r="M15" s="56"/>
      <c r="N15" s="76"/>
      <c r="O15" s="76"/>
      <c r="P15" s="77"/>
      <c r="Q15" s="77"/>
      <c r="R15" s="77"/>
      <c r="S15" s="76">
        <v>-25.530781013499976</v>
      </c>
      <c r="T15" s="77">
        <v>-31.528797317499979</v>
      </c>
      <c r="U15" s="77">
        <v>-67.373569024999995</v>
      </c>
      <c r="V15" s="77">
        <v>-59.305916957705875</v>
      </c>
      <c r="W15" s="76"/>
      <c r="X15" s="77">
        <v>-3.825754018999973</v>
      </c>
      <c r="Y15" s="77">
        <v>-19.988657885000002</v>
      </c>
      <c r="Z15" s="77"/>
      <c r="AA15" s="76">
        <v>-2.7928814503333257</v>
      </c>
      <c r="AB15" s="76">
        <v>-15.358168541333328</v>
      </c>
      <c r="AC15" s="76"/>
      <c r="AD15" s="98"/>
      <c r="AE15" s="85"/>
    </row>
    <row r="16" spans="1:33" ht="19.5" customHeight="1" x14ac:dyDescent="0.2">
      <c r="A16" s="73" t="s">
        <v>15</v>
      </c>
      <c r="B16" s="94">
        <v>41.7729691085</v>
      </c>
      <c r="C16" s="74"/>
      <c r="D16" s="75">
        <f t="shared" si="2"/>
        <v>-264.95706204589703</v>
      </c>
      <c r="E16" s="76"/>
      <c r="F16" s="76"/>
      <c r="G16" s="76"/>
      <c r="H16" s="56"/>
      <c r="I16" s="56"/>
      <c r="J16" s="56"/>
      <c r="K16" s="56"/>
      <c r="L16" s="56"/>
      <c r="M16" s="56"/>
      <c r="N16" s="76"/>
      <c r="O16" s="76"/>
      <c r="P16" s="77"/>
      <c r="Q16" s="77"/>
      <c r="R16" s="77"/>
      <c r="S16" s="76">
        <v>-13.156646238749985</v>
      </c>
      <c r="T16" s="77">
        <v>-36.275460408249998</v>
      </c>
      <c r="U16" s="77">
        <v>-52.631162274250002</v>
      </c>
      <c r="V16" s="77">
        <v>-53.740111977647047</v>
      </c>
      <c r="W16" s="76"/>
      <c r="X16" s="77"/>
      <c r="Y16" s="77">
        <v>-27.51176263499999</v>
      </c>
      <c r="Z16" s="77">
        <v>-12.625812779999997</v>
      </c>
      <c r="AA16" s="76">
        <v>-36.790633641999989</v>
      </c>
      <c r="AB16" s="76">
        <v>-32.225472090000004</v>
      </c>
      <c r="AC16" s="76"/>
      <c r="AD16" s="98"/>
      <c r="AE16" s="85"/>
    </row>
    <row r="17" spans="1:31" ht="19.5" customHeight="1" x14ac:dyDescent="0.2">
      <c r="A17" s="73" t="s">
        <v>16</v>
      </c>
      <c r="B17" s="94">
        <v>13.884297</v>
      </c>
      <c r="C17" s="74"/>
      <c r="D17" s="75">
        <f t="shared" si="2"/>
        <v>-126.28289897517645</v>
      </c>
      <c r="E17" s="76"/>
      <c r="F17" s="76"/>
      <c r="G17" s="76"/>
      <c r="H17" s="56"/>
      <c r="I17" s="56"/>
      <c r="J17" s="56"/>
      <c r="K17" s="56"/>
      <c r="L17" s="56"/>
      <c r="M17" s="56"/>
      <c r="N17" s="76"/>
      <c r="O17" s="76"/>
      <c r="P17" s="77"/>
      <c r="Q17" s="77"/>
      <c r="R17" s="77"/>
      <c r="S17" s="76">
        <v>-8.6776952499999993</v>
      </c>
      <c r="T17" s="77">
        <v>-15.064468649999998</v>
      </c>
      <c r="U17" s="77">
        <v>-15.064468649999998</v>
      </c>
      <c r="V17" s="77">
        <v>-15.384740717647057</v>
      </c>
      <c r="W17" s="76">
        <v>-5</v>
      </c>
      <c r="X17" s="77">
        <v>-9.3605918875294059</v>
      </c>
      <c r="Y17" s="77">
        <v>-12.495875</v>
      </c>
      <c r="Z17" s="77">
        <v>-12.495875</v>
      </c>
      <c r="AA17" s="76">
        <v>-15.152402486666665</v>
      </c>
      <c r="AB17" s="76">
        <v>-17.586781333333334</v>
      </c>
      <c r="AC17" s="76"/>
      <c r="AD17" s="98"/>
      <c r="AE17" s="85"/>
    </row>
    <row r="18" spans="1:31" ht="19.5" customHeight="1" x14ac:dyDescent="0.2">
      <c r="A18" s="73" t="s">
        <v>17</v>
      </c>
      <c r="B18" s="94">
        <v>10.688820656499999</v>
      </c>
      <c r="C18" s="74"/>
      <c r="D18" s="75">
        <f t="shared" si="2"/>
        <v>-228.80715510184308</v>
      </c>
      <c r="E18" s="76"/>
      <c r="F18" s="76"/>
      <c r="G18" s="76"/>
      <c r="H18" s="56"/>
      <c r="I18" s="56"/>
      <c r="J18" s="56"/>
      <c r="K18" s="56"/>
      <c r="L18" s="56"/>
      <c r="M18" s="56"/>
      <c r="N18" s="76"/>
      <c r="O18" s="76"/>
      <c r="P18" s="77"/>
      <c r="Q18" s="77"/>
      <c r="R18" s="77"/>
      <c r="S18" s="76">
        <v>-35.509092674999998</v>
      </c>
      <c r="T18" s="77">
        <v>-29.558679675</v>
      </c>
      <c r="U18" s="77">
        <v>-36.500828175000002</v>
      </c>
      <c r="V18" s="77">
        <v>-32.688771847058817</v>
      </c>
      <c r="W18" s="76">
        <v>-8</v>
      </c>
      <c r="X18" s="77">
        <v>-22.110104114117647</v>
      </c>
      <c r="Y18" s="77">
        <v>-22.85355534</v>
      </c>
      <c r="Z18" s="77">
        <v>-15.911406839999998</v>
      </c>
      <c r="AA18" s="76">
        <v>-9.1166988756666676</v>
      </c>
      <c r="AB18" s="76">
        <v>-16.55801756</v>
      </c>
      <c r="AC18" s="76"/>
      <c r="AD18" s="98"/>
      <c r="AE18" s="85"/>
    </row>
    <row r="19" spans="1:31" ht="19.5" customHeight="1" x14ac:dyDescent="0.2">
      <c r="A19" s="73" t="s">
        <v>18</v>
      </c>
      <c r="B19" s="94">
        <v>19.979493309999995</v>
      </c>
      <c r="C19" s="74"/>
      <c r="D19" s="75">
        <f t="shared" si="2"/>
        <v>-134.84432642799999</v>
      </c>
      <c r="E19" s="76"/>
      <c r="F19" s="76"/>
      <c r="G19" s="76"/>
      <c r="H19" s="56"/>
      <c r="I19" s="56"/>
      <c r="J19" s="56"/>
      <c r="K19" s="56"/>
      <c r="L19" s="56"/>
      <c r="M19" s="56"/>
      <c r="N19" s="76"/>
      <c r="O19" s="76"/>
      <c r="P19" s="77"/>
      <c r="Q19" s="77"/>
      <c r="R19" s="77"/>
      <c r="S19" s="76">
        <v>0</v>
      </c>
      <c r="T19" s="77">
        <v>-16.635371277000001</v>
      </c>
      <c r="U19" s="77">
        <v>-31.933883099999999</v>
      </c>
      <c r="V19" s="77">
        <v>-29.089585685999999</v>
      </c>
      <c r="W19" s="76"/>
      <c r="X19" s="77"/>
      <c r="Y19" s="77"/>
      <c r="Z19" s="77">
        <v>-14.255219685000004</v>
      </c>
      <c r="AA19" s="76">
        <v>-19.271415519999994</v>
      </c>
      <c r="AB19" s="76">
        <v>-23.658851159999998</v>
      </c>
      <c r="AC19" s="76"/>
      <c r="AD19" s="98"/>
      <c r="AE19" s="85"/>
    </row>
    <row r="20" spans="1:31" ht="19.5" customHeight="1" x14ac:dyDescent="0.2">
      <c r="A20" s="73" t="s">
        <v>19</v>
      </c>
      <c r="B20" s="94">
        <v>84.936195162000004</v>
      </c>
      <c r="C20" s="74"/>
      <c r="D20" s="75">
        <f t="shared" si="2"/>
        <v>-454.1251126561861</v>
      </c>
      <c r="E20" s="76"/>
      <c r="F20" s="76"/>
      <c r="G20" s="76"/>
      <c r="H20" s="56"/>
      <c r="I20" s="56"/>
      <c r="J20" s="56"/>
      <c r="K20" s="56"/>
      <c r="L20" s="56"/>
      <c r="M20" s="56"/>
      <c r="N20" s="76"/>
      <c r="O20" s="76"/>
      <c r="P20" s="77"/>
      <c r="Q20" s="77"/>
      <c r="R20" s="77"/>
      <c r="S20" s="76">
        <v>-48.116614472500004</v>
      </c>
      <c r="T20" s="77">
        <v>-95.724859037499982</v>
      </c>
      <c r="U20" s="77">
        <v>-94.2769252075</v>
      </c>
      <c r="V20" s="77">
        <v>-97.144059961176424</v>
      </c>
      <c r="W20" s="76">
        <v>-24</v>
      </c>
      <c r="X20" s="77">
        <v>-2.2984566411764433</v>
      </c>
      <c r="Y20" s="77">
        <v>-8.408003449999967</v>
      </c>
      <c r="Z20" s="77">
        <v>-21.459242629999977</v>
      </c>
      <c r="AA20" s="76">
        <v>-39.003021259999997</v>
      </c>
      <c r="AB20" s="76">
        <v>-23.693929996333324</v>
      </c>
      <c r="AC20" s="76"/>
      <c r="AD20" s="98"/>
      <c r="AE20" s="85"/>
    </row>
    <row r="21" spans="1:31" ht="19.5" customHeight="1" x14ac:dyDescent="0.2">
      <c r="A21" s="73" t="s">
        <v>20</v>
      </c>
      <c r="B21" s="94">
        <v>71.892490955599996</v>
      </c>
      <c r="C21" s="74"/>
      <c r="D21" s="75">
        <f t="shared" si="2"/>
        <v>-242.44775557888727</v>
      </c>
      <c r="E21" s="76"/>
      <c r="F21" s="76"/>
      <c r="G21" s="76"/>
      <c r="H21" s="56"/>
      <c r="I21" s="56"/>
      <c r="J21" s="56"/>
      <c r="K21" s="56"/>
      <c r="L21" s="56"/>
      <c r="M21" s="56"/>
      <c r="N21" s="76"/>
      <c r="O21" s="76"/>
      <c r="P21" s="77"/>
      <c r="Q21" s="77"/>
      <c r="R21" s="77"/>
      <c r="S21" s="76">
        <v>-15.27089262124997</v>
      </c>
      <c r="T21" s="77">
        <v>-77.629950562499999</v>
      </c>
      <c r="U21" s="77">
        <v>-74.900197505000008</v>
      </c>
      <c r="V21" s="77">
        <v>-23.282755666470578</v>
      </c>
      <c r="W21" s="76"/>
      <c r="X21" s="77"/>
      <c r="Y21" s="77">
        <v>-15.755887413000025</v>
      </c>
      <c r="Z21" s="77"/>
      <c r="AA21" s="76">
        <v>-22.298087555333325</v>
      </c>
      <c r="AB21" s="76">
        <v>-13.309984255333333</v>
      </c>
      <c r="AC21" s="76"/>
      <c r="AD21" s="98"/>
      <c r="AE21" s="85"/>
    </row>
    <row r="22" spans="1:31" ht="19.5" customHeight="1" x14ac:dyDescent="0.2">
      <c r="A22" s="73" t="s">
        <v>21</v>
      </c>
      <c r="B22" s="94">
        <v>239.46597092040003</v>
      </c>
      <c r="C22" s="74"/>
      <c r="D22" s="75">
        <f t="shared" si="2"/>
        <v>-899.6732750152496</v>
      </c>
      <c r="E22" s="76"/>
      <c r="F22" s="76"/>
      <c r="G22" s="76"/>
      <c r="H22" s="56"/>
      <c r="I22" s="56"/>
      <c r="J22" s="56"/>
      <c r="K22" s="56"/>
      <c r="L22" s="56"/>
      <c r="M22" s="56"/>
      <c r="N22" s="76"/>
      <c r="O22" s="76"/>
      <c r="P22" s="77"/>
      <c r="Q22" s="77"/>
      <c r="R22" s="77"/>
      <c r="S22" s="76">
        <v>-123.91981413874987</v>
      </c>
      <c r="T22" s="77">
        <v>-210.16261003324996</v>
      </c>
      <c r="U22" s="77">
        <v>-158.2234384272499</v>
      </c>
      <c r="V22" s="77">
        <v>0</v>
      </c>
      <c r="W22" s="76"/>
      <c r="X22" s="77"/>
      <c r="Y22" s="77">
        <v>-110.17287553299997</v>
      </c>
      <c r="Z22" s="77">
        <v>-109.42312349499997</v>
      </c>
      <c r="AA22" s="76">
        <v>-86.650766421333287</v>
      </c>
      <c r="AB22" s="76">
        <v>-101.12064696666658</v>
      </c>
      <c r="AC22" s="76"/>
      <c r="AD22" s="98"/>
      <c r="AE22" s="85"/>
    </row>
    <row r="23" spans="1:31" ht="19.5" customHeight="1" x14ac:dyDescent="0.2">
      <c r="A23" s="73" t="s">
        <v>22</v>
      </c>
      <c r="B23" s="94">
        <v>508.60931128000004</v>
      </c>
      <c r="C23" s="74"/>
      <c r="D23" s="75">
        <f t="shared" si="2"/>
        <v>-7157.4540529441174</v>
      </c>
      <c r="E23" s="76"/>
      <c r="F23" s="76"/>
      <c r="G23" s="76"/>
      <c r="H23" s="56"/>
      <c r="I23" s="56"/>
      <c r="J23" s="56"/>
      <c r="K23" s="56"/>
      <c r="L23" s="56"/>
      <c r="M23" s="56"/>
      <c r="N23" s="76"/>
      <c r="O23" s="76"/>
      <c r="P23" s="77"/>
      <c r="Q23" s="77"/>
      <c r="R23" s="77"/>
      <c r="S23" s="76">
        <v>-1046</v>
      </c>
      <c r="T23" s="77">
        <v>-1227.0001276749999</v>
      </c>
      <c r="U23" s="77">
        <v>-1237.7108710749999</v>
      </c>
      <c r="V23" s="77">
        <v>-1219.6189859941176</v>
      </c>
      <c r="W23" s="76"/>
      <c r="X23" s="77">
        <v>-339</v>
      </c>
      <c r="Y23" s="77">
        <v>-978</v>
      </c>
      <c r="Z23" s="77">
        <v>-1005.1240682</v>
      </c>
      <c r="AA23" s="76">
        <v>-39</v>
      </c>
      <c r="AB23" s="76">
        <v>-66</v>
      </c>
      <c r="AC23" s="76"/>
      <c r="AD23" s="98"/>
      <c r="AE23" s="85"/>
    </row>
    <row r="24" spans="1:31" ht="19.5" customHeight="1" x14ac:dyDescent="0.2">
      <c r="A24" s="78" t="s">
        <v>23</v>
      </c>
      <c r="B24" s="94">
        <v>586.26136839200012</v>
      </c>
      <c r="C24" s="74"/>
      <c r="D24" s="75">
        <f t="shared" si="2"/>
        <v>-1629</v>
      </c>
      <c r="E24" s="74"/>
      <c r="F24" s="76"/>
      <c r="G24" s="76"/>
      <c r="H24" s="56"/>
      <c r="I24" s="56"/>
      <c r="J24" s="56"/>
      <c r="K24" s="56"/>
      <c r="L24" s="56"/>
      <c r="M24" s="56"/>
      <c r="N24" s="76"/>
      <c r="O24" s="76"/>
      <c r="P24" s="77"/>
      <c r="Q24" s="77"/>
      <c r="R24" s="77"/>
      <c r="S24" s="76"/>
      <c r="T24" s="77">
        <v>-73</v>
      </c>
      <c r="U24" s="77">
        <v>-630</v>
      </c>
      <c r="V24" s="77">
        <v>-683</v>
      </c>
      <c r="W24" s="76"/>
      <c r="X24" s="77"/>
      <c r="Y24" s="77"/>
      <c r="Z24" s="77">
        <v>-243</v>
      </c>
      <c r="AA24" s="76"/>
      <c r="AB24" s="76"/>
      <c r="AC24" s="76"/>
      <c r="AD24" s="98"/>
      <c r="AE24" s="85"/>
    </row>
    <row r="25" spans="1:31" ht="19.5" customHeight="1" x14ac:dyDescent="0.2">
      <c r="A25" s="73" t="s">
        <v>24</v>
      </c>
      <c r="B25" s="95"/>
      <c r="C25" s="74">
        <v>-27</v>
      </c>
      <c r="D25" s="75">
        <f t="shared" si="2"/>
        <v>-2913</v>
      </c>
      <c r="E25" s="76"/>
      <c r="F25" s="76"/>
      <c r="G25" s="76"/>
      <c r="H25" s="56"/>
      <c r="I25" s="56"/>
      <c r="J25" s="76"/>
      <c r="K25" s="56"/>
      <c r="L25" s="56"/>
      <c r="M25" s="76"/>
      <c r="N25" s="76"/>
      <c r="O25" s="76"/>
      <c r="P25" s="77"/>
      <c r="Q25" s="77">
        <v>-140</v>
      </c>
      <c r="R25" s="77">
        <v>-276</v>
      </c>
      <c r="S25" s="76">
        <v>-297</v>
      </c>
      <c r="T25" s="77">
        <v>-309</v>
      </c>
      <c r="U25" s="77">
        <v>-311</v>
      </c>
      <c r="V25" s="77">
        <v>-296</v>
      </c>
      <c r="W25" s="76">
        <v>-236</v>
      </c>
      <c r="X25" s="77">
        <v>-192</v>
      </c>
      <c r="Y25" s="77">
        <v>-248</v>
      </c>
      <c r="Z25" s="77">
        <v>-252</v>
      </c>
      <c r="AA25" s="76">
        <v>-224</v>
      </c>
      <c r="AB25" s="76">
        <v>-81</v>
      </c>
      <c r="AC25" s="76">
        <v>-24</v>
      </c>
      <c r="AD25" s="98">
        <v>-27</v>
      </c>
      <c r="AE25" s="85"/>
    </row>
    <row r="26" spans="1:31" ht="19.5" customHeight="1" x14ac:dyDescent="0.2">
      <c r="A26" s="73" t="s">
        <v>25</v>
      </c>
      <c r="B26" s="95">
        <v>1</v>
      </c>
      <c r="C26" s="74"/>
      <c r="D26" s="75">
        <f>SUM(E26:AD26)</f>
        <v>-8</v>
      </c>
      <c r="E26" s="74"/>
      <c r="F26" s="76"/>
      <c r="G26" s="76"/>
      <c r="H26" s="56"/>
      <c r="I26" s="56"/>
      <c r="J26" s="56"/>
      <c r="K26" s="56"/>
      <c r="L26" s="56"/>
      <c r="M26" s="76"/>
      <c r="N26" s="76"/>
      <c r="O26" s="76"/>
      <c r="P26" s="77"/>
      <c r="Q26" s="77"/>
      <c r="R26" s="77"/>
      <c r="S26" s="76">
        <v>-2</v>
      </c>
      <c r="T26" s="77">
        <v>-2</v>
      </c>
      <c r="U26" s="77">
        <v>-2</v>
      </c>
      <c r="V26" s="77">
        <v>-2</v>
      </c>
      <c r="W26" s="76"/>
      <c r="X26" s="77"/>
      <c r="Y26" s="77"/>
      <c r="Z26" s="77"/>
      <c r="AA26" s="76"/>
      <c r="AB26" s="76"/>
      <c r="AC26" s="76"/>
      <c r="AD26" s="98"/>
      <c r="AE26" s="97"/>
    </row>
    <row r="27" spans="1:31" ht="19.5" customHeight="1" x14ac:dyDescent="0.2">
      <c r="A27" s="92" t="s">
        <v>26</v>
      </c>
      <c r="B27" s="95">
        <v>2</v>
      </c>
      <c r="C27" s="74"/>
      <c r="D27" s="76">
        <f t="shared" si="2"/>
        <v>-19</v>
      </c>
      <c r="E27" s="74"/>
      <c r="F27" s="76"/>
      <c r="G27" s="76"/>
      <c r="H27" s="56"/>
      <c r="I27" s="56"/>
      <c r="J27" s="56"/>
      <c r="K27" s="56"/>
      <c r="L27" s="56"/>
      <c r="M27" s="76"/>
      <c r="N27" s="76"/>
      <c r="O27" s="76"/>
      <c r="P27" s="77"/>
      <c r="Q27" s="77"/>
      <c r="R27" s="77"/>
      <c r="S27" s="76">
        <v>-4</v>
      </c>
      <c r="T27" s="77">
        <v>-4</v>
      </c>
      <c r="U27" s="77">
        <v>-4</v>
      </c>
      <c r="V27" s="77">
        <v>-3</v>
      </c>
      <c r="W27" s="76">
        <v>-1</v>
      </c>
      <c r="X27" s="77">
        <v>-1</v>
      </c>
      <c r="Y27" s="77">
        <v>-1</v>
      </c>
      <c r="Z27" s="77">
        <v>-1</v>
      </c>
      <c r="AA27" s="76"/>
      <c r="AB27" s="76"/>
      <c r="AC27" s="76"/>
      <c r="AD27" s="76"/>
      <c r="AE27" s="97"/>
    </row>
    <row r="28" spans="1:31" ht="19.5" customHeight="1" x14ac:dyDescent="0.2">
      <c r="A28" s="79"/>
      <c r="B28" s="80"/>
      <c r="C28" s="87"/>
      <c r="D28" s="87" t="s">
        <v>27</v>
      </c>
      <c r="E28" s="81"/>
      <c r="F28" s="82"/>
      <c r="G28" s="82"/>
      <c r="H28" s="88"/>
      <c r="I28" s="88"/>
      <c r="J28" s="88"/>
      <c r="K28" s="88"/>
      <c r="L28" s="88"/>
      <c r="M28" s="82"/>
      <c r="N28" s="82"/>
      <c r="O28" s="82"/>
      <c r="P28" s="89"/>
      <c r="Q28" s="89"/>
      <c r="R28" s="89"/>
      <c r="S28" s="82"/>
      <c r="T28" s="89"/>
      <c r="U28" s="89"/>
      <c r="V28" s="90"/>
      <c r="W28" s="71"/>
      <c r="X28" s="90"/>
      <c r="Y28" s="91"/>
      <c r="Z28" s="91"/>
      <c r="AA28" s="71"/>
      <c r="AB28" s="83"/>
      <c r="AC28" s="83"/>
      <c r="AD28" s="83"/>
      <c r="AE28" s="86"/>
    </row>
    <row r="29" spans="1:31" ht="19.5" customHeight="1" x14ac:dyDescent="0.2">
      <c r="A29" s="92" t="s">
        <v>28</v>
      </c>
      <c r="B29" s="72">
        <f>SUBTOTAL(109,Table2[Column2])</f>
        <v>1869.2831823212503</v>
      </c>
      <c r="C29" s="74">
        <f>SUBTOTAL(109,Table2[Column3])</f>
        <v>-27</v>
      </c>
      <c r="D29" s="76">
        <f>SUBTOTAL(109,Table2[Column4])</f>
        <v>-16294.645783327473</v>
      </c>
      <c r="E29" s="76">
        <f>SUBTOTAL(109,Table2[Column5])</f>
        <v>0</v>
      </c>
      <c r="F29" s="76">
        <f>SUBTOTAL(109,Table2[Column6])</f>
        <v>0</v>
      </c>
      <c r="G29" s="76">
        <f>SUBTOTAL(109,Table2[Column7])</f>
        <v>0</v>
      </c>
      <c r="H29" s="76">
        <f>SUBTOTAL(109,Table2[Column8])</f>
        <v>0</v>
      </c>
      <c r="I29" s="76">
        <f>SUBTOTAL(109,Table2[Column9])</f>
        <v>0</v>
      </c>
      <c r="J29" s="76">
        <f>SUBTOTAL(109,Table2[Column10])</f>
        <v>0</v>
      </c>
      <c r="K29" s="76">
        <f>SUBTOTAL(109,Table2[Column11])</f>
        <v>0</v>
      </c>
      <c r="L29" s="76">
        <f>SUBTOTAL(109,Table2[Column12])</f>
        <v>0</v>
      </c>
      <c r="M29" s="76">
        <f>SUBTOTAL(109,Table2[Column13])</f>
        <v>0</v>
      </c>
      <c r="N29" s="76">
        <f>SUBTOTAL(109,Table2[Column14])</f>
        <v>0</v>
      </c>
      <c r="O29" s="76">
        <f>SUBTOTAL(109,Table2[Column15])</f>
        <v>0</v>
      </c>
      <c r="P29" s="76">
        <f>SUBTOTAL(109,Table2[Column16])</f>
        <v>0</v>
      </c>
      <c r="Q29" s="76">
        <f>SUBTOTAL(109,Table2[Column17])</f>
        <v>-140</v>
      </c>
      <c r="R29" s="76">
        <f>SUBTOTAL(109,Table2[Column18])</f>
        <v>-276</v>
      </c>
      <c r="S29" s="76">
        <f>SUBTOTAL(109,Table2[Column19])</f>
        <v>-1877.7258054382496</v>
      </c>
      <c r="T29" s="76">
        <f>SUBTOTAL(109,Table2[Column20])</f>
        <v>-2551.4968834009996</v>
      </c>
      <c r="U29" s="76">
        <f>SUBTOTAL(109,Table2[Column21])</f>
        <v>-3171.1102385984996</v>
      </c>
      <c r="V29" s="76">
        <f>SUBTOTAL(109,Table2[Column22])</f>
        <v>-2838.1896585318236</v>
      </c>
      <c r="W29" s="76">
        <f>SUBTOTAL(109,Table2[Column23])</f>
        <v>-328</v>
      </c>
      <c r="X29" s="76">
        <f>SUBTOTAL(109,Table2[Column24])</f>
        <v>-640.70680292823522</v>
      </c>
      <c r="Y29" s="76">
        <f>SUBTOTAL(109,Table2[Column25])</f>
        <v>-1580.3056123199999</v>
      </c>
      <c r="Z29" s="76">
        <f>SUBTOTAL(109,Table2[Column26])</f>
        <v>-1818.6844152409999</v>
      </c>
      <c r="AA29" s="76">
        <f>SUBTOTAL(109,Table2[Column27])</f>
        <v>-580.63067395033318</v>
      </c>
      <c r="AB29" s="76">
        <f>SUBTOTAL(109,Table2[Column28])</f>
        <v>-440.79569291833326</v>
      </c>
      <c r="AC29" s="76">
        <f>SUBTOTAL(109,Table2[Column29])</f>
        <v>-24</v>
      </c>
      <c r="AD29" s="76">
        <f>SUBTOTAL(109,Table2[Column30])</f>
        <v>-27</v>
      </c>
      <c r="AE29" s="76"/>
    </row>
    <row r="30" spans="1:31" ht="19.5" customHeight="1" x14ac:dyDescent="0.2">
      <c r="A30" s="5"/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1"/>
      <c r="X30" s="71"/>
      <c r="Y30" s="71"/>
      <c r="Z30" s="71"/>
      <c r="AA30" s="71"/>
      <c r="AB30" s="71"/>
      <c r="AC30" s="71"/>
      <c r="AD30" s="71"/>
    </row>
    <row r="33" spans="1:15" ht="19.5" customHeight="1" x14ac:dyDescent="0.2">
      <c r="A33" s="103" t="s">
        <v>29</v>
      </c>
      <c r="B33" s="103"/>
      <c r="C33" s="103"/>
      <c r="E33" s="10"/>
      <c r="K33" s="60"/>
      <c r="L33" s="60"/>
      <c r="M33" s="45"/>
      <c r="O33" s="61"/>
    </row>
    <row r="34" spans="1:15" ht="19.5" customHeight="1" thickBot="1" x14ac:dyDescent="0.25">
      <c r="G34" s="9"/>
      <c r="J34" s="45"/>
      <c r="L34" s="45"/>
      <c r="M34" s="45"/>
      <c r="N34" s="45"/>
      <c r="O34" s="45"/>
    </row>
    <row r="35" spans="1:15" ht="19.5" customHeight="1" x14ac:dyDescent="0.2">
      <c r="A35" s="6"/>
      <c r="B35" s="99" t="s">
        <v>30</v>
      </c>
      <c r="C35" s="100"/>
    </row>
    <row r="36" spans="1:15" ht="19.5" customHeight="1" thickBot="1" x14ac:dyDescent="0.25">
      <c r="A36" s="6"/>
      <c r="B36" s="101"/>
      <c r="C36" s="102"/>
    </row>
    <row r="37" spans="1:15" ht="19.5" customHeight="1" thickBot="1" x14ac:dyDescent="0.25">
      <c r="A37" s="12" t="s">
        <v>31</v>
      </c>
      <c r="B37" s="13">
        <v>45474</v>
      </c>
      <c r="C37" s="13"/>
    </row>
    <row r="38" spans="1:15" ht="19.5" customHeight="1" thickBot="1" x14ac:dyDescent="0.25">
      <c r="A38" s="12"/>
      <c r="B38" s="68"/>
      <c r="C38" s="68"/>
    </row>
    <row r="39" spans="1:15" ht="19.5" customHeight="1" thickBot="1" x14ac:dyDescent="0.25">
      <c r="A39" s="12" t="s">
        <v>32</v>
      </c>
      <c r="B39" s="13">
        <v>45474</v>
      </c>
      <c r="C39" s="13"/>
      <c r="F39" s="11"/>
    </row>
    <row r="40" spans="1:15" ht="19.5" customHeight="1" thickBot="1" x14ac:dyDescent="0.25">
      <c r="A40" s="12"/>
      <c r="B40" s="68"/>
      <c r="C40" s="68"/>
    </row>
    <row r="41" spans="1:15" ht="19.5" customHeight="1" thickBot="1" x14ac:dyDescent="0.25">
      <c r="A41" s="12" t="s">
        <v>33</v>
      </c>
      <c r="B41" s="13" t="s">
        <v>94</v>
      </c>
      <c r="C41" s="13"/>
      <c r="F41" s="11"/>
    </row>
  </sheetData>
  <sheetProtection algorithmName="SHA-512" hashValue="nIYgcL6R4SQIPg363BFqhkjNuukFlGi3eSKTois7jZle1Eh/u3KslID1CPdOkhpwEM76bzqX01vWnGDpgC+jNw==" saltValue="qK4TIb6Xb5V1Pja3a4x+ag==" spinCount="100000" sheet="1" objects="1" scenarios="1"/>
  <mergeCells count="7">
    <mergeCell ref="B35:C36"/>
    <mergeCell ref="D7:D8"/>
    <mergeCell ref="A33:C33"/>
    <mergeCell ref="A1:C1"/>
    <mergeCell ref="A4:C4"/>
    <mergeCell ref="A6:B6"/>
    <mergeCell ref="B7:C7"/>
  </mergeCells>
  <phoneticPr fontId="0" type="noConversion"/>
  <hyperlinks>
    <hyperlink ref="A33:C33" r:id="rId1" display="COURT ORDERED DUTY SCHEDULE" xr:uid="{F1574DC7-5883-4288-818B-A799B37A3F2F}"/>
    <hyperlink ref="E36" r:id="rId2" display="http://waterrights.utah.gov/cgi-bin/dvrtview.exe?Modinfo=SysStations&amp;SYSTEM_NAME=DUCHESNE+RIVER&amp;RECORD_YEAR=2008" xr:uid="{00000000-0004-0000-0000-000000000000}"/>
  </hyperlinks>
  <pageMargins left="0.7" right="0.7" top="0.75" bottom="0.75" header="0.3" footer="0.3"/>
  <pageSetup scale="37" orientation="landscape" horizontalDpi="360" verticalDpi="360" r:id="rId3"/>
  <ignoredErrors>
    <ignoredError sqref="D28" calculatedColumn="1"/>
  </ignoredErrors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48"/>
  <sheetViews>
    <sheetView workbookViewId="0">
      <selection activeCell="G60" sqref="G60"/>
    </sheetView>
  </sheetViews>
  <sheetFormatPr defaultRowHeight="12.75" x14ac:dyDescent="0.2"/>
  <cols>
    <col min="1" max="1" width="13" customWidth="1"/>
    <col min="4" max="4" width="10.7109375" customWidth="1"/>
    <col min="7" max="7" width="10.7109375" customWidth="1"/>
    <col min="10" max="10" width="9.85546875" customWidth="1"/>
  </cols>
  <sheetData>
    <row r="1" spans="1:17" x14ac:dyDescent="0.2">
      <c r="A1" s="15"/>
      <c r="B1" s="16"/>
      <c r="C1" s="16"/>
      <c r="D1" s="16"/>
      <c r="E1" s="16"/>
      <c r="F1" s="16"/>
      <c r="G1" s="16"/>
      <c r="H1" s="17"/>
      <c r="J1" s="15"/>
      <c r="K1" s="16"/>
      <c r="L1" s="16"/>
      <c r="M1" s="16"/>
      <c r="N1" s="16"/>
      <c r="O1" s="16"/>
      <c r="P1" s="16"/>
      <c r="Q1" s="17"/>
    </row>
    <row r="2" spans="1:17" ht="15" x14ac:dyDescent="0.25">
      <c r="A2" s="18"/>
      <c r="C2" s="19" t="s">
        <v>34</v>
      </c>
      <c r="H2" s="20"/>
      <c r="J2" s="18"/>
      <c r="L2" s="19" t="s">
        <v>35</v>
      </c>
      <c r="Q2" s="20"/>
    </row>
    <row r="3" spans="1:17" x14ac:dyDescent="0.2">
      <c r="A3" s="18"/>
      <c r="H3" s="20"/>
      <c r="J3" s="18"/>
      <c r="Q3" s="20"/>
    </row>
    <row r="4" spans="1:17" x14ac:dyDescent="0.2">
      <c r="A4" s="18"/>
      <c r="B4" t="s">
        <v>36</v>
      </c>
      <c r="H4" s="20"/>
      <c r="J4" s="18"/>
      <c r="K4" t="s">
        <v>37</v>
      </c>
      <c r="Q4" s="20"/>
    </row>
    <row r="5" spans="1:17" x14ac:dyDescent="0.2">
      <c r="A5" s="18"/>
      <c r="H5" s="20"/>
      <c r="J5" s="18"/>
      <c r="Q5" s="20"/>
    </row>
    <row r="6" spans="1:17" ht="15" x14ac:dyDescent="0.25">
      <c r="A6" s="21" t="s">
        <v>38</v>
      </c>
      <c r="D6" s="22" t="s">
        <v>39</v>
      </c>
      <c r="G6" s="22" t="s">
        <v>40</v>
      </c>
      <c r="H6" s="20"/>
      <c r="J6" s="21" t="s">
        <v>38</v>
      </c>
      <c r="M6" s="22" t="s">
        <v>39</v>
      </c>
      <c r="P6" s="22" t="s">
        <v>41</v>
      </c>
      <c r="Q6" s="20"/>
    </row>
    <row r="7" spans="1:17" x14ac:dyDescent="0.2">
      <c r="A7" s="18"/>
      <c r="H7" s="20"/>
      <c r="J7" s="18"/>
      <c r="Q7" s="20"/>
    </row>
    <row r="8" spans="1:17" x14ac:dyDescent="0.2">
      <c r="A8" s="18" t="s">
        <v>42</v>
      </c>
      <c r="B8" t="s">
        <v>43</v>
      </c>
      <c r="D8" t="s">
        <v>44</v>
      </c>
      <c r="E8" t="s">
        <v>45</v>
      </c>
      <c r="G8" t="s">
        <v>46</v>
      </c>
      <c r="H8" s="20" t="s">
        <v>47</v>
      </c>
      <c r="J8" s="18" t="s">
        <v>42</v>
      </c>
      <c r="K8" t="s">
        <v>43</v>
      </c>
      <c r="M8" t="s">
        <v>44</v>
      </c>
      <c r="N8" t="s">
        <v>45</v>
      </c>
      <c r="P8" t="s">
        <v>46</v>
      </c>
      <c r="Q8" s="20" t="s">
        <v>47</v>
      </c>
    </row>
    <row r="9" spans="1:17" x14ac:dyDescent="0.2">
      <c r="A9" s="23"/>
      <c r="B9" s="24"/>
      <c r="H9" s="20"/>
      <c r="J9" s="23"/>
      <c r="K9" s="24"/>
      <c r="Q9" s="20"/>
    </row>
    <row r="10" spans="1:17" x14ac:dyDescent="0.2">
      <c r="A10" s="18" t="s">
        <v>48</v>
      </c>
      <c r="B10">
        <v>15</v>
      </c>
      <c r="D10" t="s">
        <v>49</v>
      </c>
      <c r="E10" s="25">
        <f>1*1.98347/100</f>
        <v>1.98347E-2</v>
      </c>
      <c r="G10" s="26">
        <f>E10*15</f>
        <v>0.29752050000000002</v>
      </c>
      <c r="H10" s="27">
        <f>G10</f>
        <v>0.29752050000000002</v>
      </c>
      <c r="J10" s="18" t="s">
        <v>50</v>
      </c>
      <c r="K10">
        <v>11</v>
      </c>
      <c r="M10" t="s">
        <v>51</v>
      </c>
      <c r="N10" s="25">
        <f>1*1.98347/145</f>
        <v>1.3679103448275862E-2</v>
      </c>
      <c r="P10" s="26">
        <f>N10*15</f>
        <v>0.20518655172413794</v>
      </c>
      <c r="Q10" s="27">
        <f>P10</f>
        <v>0.20518655172413794</v>
      </c>
    </row>
    <row r="11" spans="1:17" x14ac:dyDescent="0.2">
      <c r="A11" s="18" t="s">
        <v>52</v>
      </c>
      <c r="B11">
        <v>16</v>
      </c>
      <c r="D11" s="28" t="s">
        <v>53</v>
      </c>
      <c r="E11" s="25">
        <f>1*1.98347/60</f>
        <v>3.3057833333333335E-2</v>
      </c>
      <c r="G11" s="26">
        <f>E11*16</f>
        <v>0.52892533333333336</v>
      </c>
      <c r="H11" s="27">
        <f>H10+G11</f>
        <v>0.82644583333333332</v>
      </c>
      <c r="J11" s="18" t="s">
        <v>48</v>
      </c>
      <c r="K11">
        <v>15</v>
      </c>
      <c r="M11" t="s">
        <v>49</v>
      </c>
      <c r="N11" s="25">
        <f>1*1.98347/100</f>
        <v>1.98347E-2</v>
      </c>
      <c r="P11" s="26">
        <f>N11*15</f>
        <v>0.29752050000000002</v>
      </c>
      <c r="Q11" s="27">
        <f>Q10+P11</f>
        <v>0.50270705172413799</v>
      </c>
    </row>
    <row r="12" spans="1:17" x14ac:dyDescent="0.2">
      <c r="A12" s="18" t="s">
        <v>54</v>
      </c>
      <c r="B12">
        <v>15</v>
      </c>
      <c r="D12" s="28" t="s">
        <v>53</v>
      </c>
      <c r="E12" s="25">
        <f>1*1.98347/60</f>
        <v>3.3057833333333335E-2</v>
      </c>
      <c r="G12" s="26">
        <f>E12*15</f>
        <v>0.49586750000000002</v>
      </c>
      <c r="H12" s="27">
        <f t="shared" ref="H12:H20" si="0">H11+G12</f>
        <v>1.3223133333333332</v>
      </c>
      <c r="J12" s="18" t="s">
        <v>52</v>
      </c>
      <c r="K12">
        <v>16</v>
      </c>
      <c r="M12" s="28" t="s">
        <v>55</v>
      </c>
      <c r="N12" s="25">
        <f>1*1.98347/85</f>
        <v>2.333494117647059E-2</v>
      </c>
      <c r="P12" s="26">
        <f>N12*16</f>
        <v>0.37335905882352943</v>
      </c>
      <c r="Q12" s="27">
        <f>Q11+P12</f>
        <v>0.87606611054766748</v>
      </c>
    </row>
    <row r="13" spans="1:17" x14ac:dyDescent="0.2">
      <c r="A13" s="18" t="s">
        <v>56</v>
      </c>
      <c r="B13">
        <v>15</v>
      </c>
      <c r="D13" s="28" t="s">
        <v>57</v>
      </c>
      <c r="E13" s="25">
        <f>1*1.98347/65</f>
        <v>3.0514923076923078E-2</v>
      </c>
      <c r="G13" s="26">
        <f>E13*15</f>
        <v>0.4577238461538462</v>
      </c>
      <c r="H13" s="27">
        <f t="shared" si="0"/>
        <v>1.7800371794871794</v>
      </c>
      <c r="J13" s="18" t="s">
        <v>54</v>
      </c>
      <c r="K13">
        <v>15</v>
      </c>
      <c r="M13" s="28" t="s">
        <v>53</v>
      </c>
      <c r="N13" s="25">
        <f>1*1.98347/60</f>
        <v>3.3057833333333335E-2</v>
      </c>
      <c r="P13" s="26">
        <f>N13*15</f>
        <v>0.49586750000000002</v>
      </c>
      <c r="Q13" s="27">
        <f t="shared" ref="Q13:Q21" si="1">Q12+P13</f>
        <v>1.3719336105476674</v>
      </c>
    </row>
    <row r="14" spans="1:17" x14ac:dyDescent="0.2">
      <c r="A14" s="18" t="s">
        <v>58</v>
      </c>
      <c r="B14">
        <v>15</v>
      </c>
      <c r="D14" s="28" t="s">
        <v>59</v>
      </c>
      <c r="E14" s="25">
        <f>1*1.98347/70</f>
        <v>2.8335285714285716E-2</v>
      </c>
      <c r="G14" s="26">
        <f>E14*15</f>
        <v>0.42502928571428572</v>
      </c>
      <c r="H14" s="27">
        <f t="shared" si="0"/>
        <v>2.2050664652014653</v>
      </c>
      <c r="J14" s="18" t="s">
        <v>56</v>
      </c>
      <c r="K14">
        <v>15</v>
      </c>
      <c r="M14" s="29" t="s">
        <v>57</v>
      </c>
      <c r="N14" s="25">
        <f>1*1.98347/65</f>
        <v>3.0514923076923078E-2</v>
      </c>
      <c r="P14" s="26">
        <f>N14*15</f>
        <v>0.4577238461538462</v>
      </c>
      <c r="Q14" s="27">
        <f t="shared" si="1"/>
        <v>1.8296574567015136</v>
      </c>
    </row>
    <row r="15" spans="1:17" x14ac:dyDescent="0.2">
      <c r="A15" s="18" t="s">
        <v>60</v>
      </c>
      <c r="B15">
        <v>16</v>
      </c>
      <c r="D15" s="28" t="s">
        <v>61</v>
      </c>
      <c r="E15" s="25">
        <f>1*1.98347/80</f>
        <v>2.4793374999999999E-2</v>
      </c>
      <c r="G15" s="26">
        <f>E15*16</f>
        <v>0.39669399999999999</v>
      </c>
      <c r="H15" s="27">
        <f t="shared" si="0"/>
        <v>2.6017604652014654</v>
      </c>
      <c r="J15" s="18" t="s">
        <v>58</v>
      </c>
      <c r="K15">
        <v>15</v>
      </c>
      <c r="M15" s="28" t="s">
        <v>59</v>
      </c>
      <c r="N15" s="25">
        <f>1*1.98347/70</f>
        <v>2.8335285714285716E-2</v>
      </c>
      <c r="P15" s="26">
        <f>N15*15</f>
        <v>0.42502928571428572</v>
      </c>
      <c r="Q15" s="27">
        <f t="shared" si="1"/>
        <v>2.2546867424157995</v>
      </c>
    </row>
    <row r="16" spans="1:17" x14ac:dyDescent="0.2">
      <c r="A16" s="18" t="s">
        <v>62</v>
      </c>
      <c r="B16">
        <v>15</v>
      </c>
      <c r="D16" s="28" t="s">
        <v>61</v>
      </c>
      <c r="E16" s="25">
        <f>1*1.98347/80</f>
        <v>2.4793374999999999E-2</v>
      </c>
      <c r="G16" s="26">
        <f>E16*15</f>
        <v>0.37190062499999998</v>
      </c>
      <c r="H16" s="27">
        <f t="shared" si="0"/>
        <v>2.9736610902014653</v>
      </c>
      <c r="J16" s="18" t="s">
        <v>60</v>
      </c>
      <c r="K16">
        <v>16</v>
      </c>
      <c r="M16" s="28" t="s">
        <v>61</v>
      </c>
      <c r="N16" s="25">
        <f>1*1.98347/80</f>
        <v>2.4793374999999999E-2</v>
      </c>
      <c r="P16" s="26">
        <f>N16*16</f>
        <v>0.39669399999999999</v>
      </c>
      <c r="Q16" s="27">
        <f t="shared" si="1"/>
        <v>2.6513807424157996</v>
      </c>
    </row>
    <row r="17" spans="1:17" x14ac:dyDescent="0.2">
      <c r="A17" s="53" t="s">
        <v>63</v>
      </c>
      <c r="B17" s="49">
        <v>16</v>
      </c>
      <c r="C17" s="49"/>
      <c r="D17" s="51" t="s">
        <v>55</v>
      </c>
      <c r="E17" s="52">
        <f>1*1.98347/85</f>
        <v>2.333494117647059E-2</v>
      </c>
      <c r="F17" s="49"/>
      <c r="G17" s="50">
        <f>E17*16</f>
        <v>0.37335905882352943</v>
      </c>
      <c r="H17" s="54">
        <f t="shared" si="0"/>
        <v>3.3470201490249947</v>
      </c>
      <c r="J17" s="18" t="s">
        <v>62</v>
      </c>
      <c r="K17">
        <v>15</v>
      </c>
      <c r="M17" s="28" t="s">
        <v>61</v>
      </c>
      <c r="N17" s="25">
        <f>1*1.98347/80</f>
        <v>2.4793374999999999E-2</v>
      </c>
      <c r="P17" s="26">
        <f>N17*15</f>
        <v>0.37190062499999998</v>
      </c>
      <c r="Q17" s="27">
        <f t="shared" si="1"/>
        <v>3.0232813674157994</v>
      </c>
    </row>
    <row r="18" spans="1:17" x14ac:dyDescent="0.2">
      <c r="A18" s="18" t="s">
        <v>64</v>
      </c>
      <c r="B18">
        <v>15</v>
      </c>
      <c r="D18" s="28" t="s">
        <v>49</v>
      </c>
      <c r="E18" s="25">
        <f>1*1.98347/100</f>
        <v>1.98347E-2</v>
      </c>
      <c r="G18" s="26">
        <f>E18*15</f>
        <v>0.29752050000000002</v>
      </c>
      <c r="H18" s="27">
        <f t="shared" si="0"/>
        <v>3.6445406490249947</v>
      </c>
      <c r="J18" s="53" t="s">
        <v>63</v>
      </c>
      <c r="K18" s="49">
        <v>16</v>
      </c>
      <c r="L18" s="49"/>
      <c r="M18" s="51" t="s">
        <v>55</v>
      </c>
      <c r="N18" s="52">
        <f>1*1.98347/85</f>
        <v>2.333494117647059E-2</v>
      </c>
      <c r="O18" s="49"/>
      <c r="P18" s="50">
        <f>N18*16</f>
        <v>0.37335905882352943</v>
      </c>
      <c r="Q18" s="54">
        <f t="shared" si="1"/>
        <v>3.3966404262393288</v>
      </c>
    </row>
    <row r="19" spans="1:17" x14ac:dyDescent="0.2">
      <c r="A19" s="18" t="s">
        <v>65</v>
      </c>
      <c r="B19">
        <v>15</v>
      </c>
      <c r="D19" s="28" t="s">
        <v>66</v>
      </c>
      <c r="E19" s="25">
        <f>1*1.98347/150</f>
        <v>1.3223133333333333E-2</v>
      </c>
      <c r="G19" s="26">
        <f>E19*15</f>
        <v>0.198347</v>
      </c>
      <c r="H19" s="27">
        <f t="shared" si="0"/>
        <v>3.8428876490249948</v>
      </c>
      <c r="J19" s="18" t="s">
        <v>64</v>
      </c>
      <c r="K19">
        <v>15</v>
      </c>
      <c r="M19" s="28" t="s">
        <v>49</v>
      </c>
      <c r="N19" s="25">
        <f>1*1.98347/100</f>
        <v>1.98347E-2</v>
      </c>
      <c r="P19" s="26">
        <f>N19*15</f>
        <v>0.29752050000000002</v>
      </c>
      <c r="Q19" s="27">
        <f t="shared" si="1"/>
        <v>3.6941609262393289</v>
      </c>
    </row>
    <row r="20" spans="1:17" x14ac:dyDescent="0.2">
      <c r="A20" s="18" t="s">
        <v>67</v>
      </c>
      <c r="B20">
        <v>15</v>
      </c>
      <c r="D20" s="30" t="s">
        <v>68</v>
      </c>
      <c r="E20" s="25">
        <f>1*1.98347/200</f>
        <v>9.9173500000000001E-3</v>
      </c>
      <c r="G20" s="26">
        <f>E20*15</f>
        <v>0.14876025000000001</v>
      </c>
      <c r="H20" s="27">
        <f t="shared" si="0"/>
        <v>3.9916478990249948</v>
      </c>
      <c r="J20" s="18" t="s">
        <v>65</v>
      </c>
      <c r="K20">
        <v>15</v>
      </c>
      <c r="M20" s="28" t="s">
        <v>66</v>
      </c>
      <c r="N20" s="25">
        <f>1*1.98347/150</f>
        <v>1.3223133333333333E-2</v>
      </c>
      <c r="P20" s="26">
        <f>N20*15</f>
        <v>0.198347</v>
      </c>
      <c r="Q20" s="27">
        <f t="shared" si="1"/>
        <v>3.892507926239329</v>
      </c>
    </row>
    <row r="21" spans="1:17" x14ac:dyDescent="0.2">
      <c r="A21" s="31"/>
      <c r="B21" s="14"/>
      <c r="C21" s="14"/>
      <c r="D21" s="14"/>
      <c r="E21" s="14"/>
      <c r="F21" s="14"/>
      <c r="G21" s="14"/>
      <c r="H21" s="32"/>
      <c r="J21" s="31" t="s">
        <v>67</v>
      </c>
      <c r="K21" s="14">
        <v>15</v>
      </c>
      <c r="L21" s="14"/>
      <c r="M21" s="33" t="s">
        <v>68</v>
      </c>
      <c r="N21" s="34">
        <f>1*1.98347/200</f>
        <v>9.9173500000000001E-3</v>
      </c>
      <c r="O21" s="14"/>
      <c r="P21" s="35">
        <f>N21*15</f>
        <v>0.14876025000000001</v>
      </c>
      <c r="Q21" s="36">
        <f t="shared" si="1"/>
        <v>4.0412681762393285</v>
      </c>
    </row>
    <row r="22" spans="1:17" x14ac:dyDescent="0.2">
      <c r="E22" s="25"/>
    </row>
    <row r="24" spans="1:17" x14ac:dyDescent="0.2">
      <c r="A24" s="15"/>
      <c r="B24" s="16"/>
      <c r="C24" s="16"/>
      <c r="D24" s="16"/>
      <c r="E24" s="16"/>
      <c r="F24" s="16"/>
      <c r="G24" s="16"/>
      <c r="H24" s="17"/>
    </row>
    <row r="25" spans="1:17" ht="15" x14ac:dyDescent="0.25">
      <c r="A25" s="18"/>
      <c r="C25" s="19" t="s">
        <v>69</v>
      </c>
      <c r="H25" s="20"/>
      <c r="I25" s="26">
        <f>4-H13</f>
        <v>2.2199628205128206</v>
      </c>
    </row>
    <row r="26" spans="1:17" x14ac:dyDescent="0.2">
      <c r="A26" s="18"/>
      <c r="H26" s="20"/>
      <c r="I26" s="26">
        <f>4-Q14</f>
        <v>2.1703425432984864</v>
      </c>
    </row>
    <row r="27" spans="1:17" x14ac:dyDescent="0.2">
      <c r="A27" s="18"/>
      <c r="B27" t="s">
        <v>70</v>
      </c>
      <c r="H27" s="20"/>
      <c r="I27" s="26">
        <f>4-H40</f>
        <v>2.1451407134920633</v>
      </c>
    </row>
    <row r="28" spans="1:17" x14ac:dyDescent="0.2">
      <c r="A28" s="18"/>
      <c r="H28" s="20"/>
    </row>
    <row r="29" spans="1:17" ht="15" x14ac:dyDescent="0.25">
      <c r="A29" s="21" t="s">
        <v>38</v>
      </c>
      <c r="D29" s="22" t="s">
        <v>39</v>
      </c>
      <c r="G29" s="22" t="s">
        <v>40</v>
      </c>
      <c r="H29" s="20"/>
    </row>
    <row r="30" spans="1:17" x14ac:dyDescent="0.2">
      <c r="A30" s="18"/>
      <c r="H30" s="20"/>
    </row>
    <row r="31" spans="1:17" x14ac:dyDescent="0.2">
      <c r="A31" s="18" t="s">
        <v>42</v>
      </c>
      <c r="B31" t="s">
        <v>43</v>
      </c>
      <c r="D31" t="s">
        <v>44</v>
      </c>
      <c r="E31" t="s">
        <v>45</v>
      </c>
      <c r="G31" t="s">
        <v>46</v>
      </c>
      <c r="H31" s="20" t="s">
        <v>47</v>
      </c>
    </row>
    <row r="32" spans="1:17" x14ac:dyDescent="0.2">
      <c r="A32" s="23"/>
      <c r="B32" s="24"/>
      <c r="H32" s="20"/>
    </row>
    <row r="33" spans="1:8" x14ac:dyDescent="0.2">
      <c r="A33" t="s">
        <v>71</v>
      </c>
      <c r="B33">
        <v>15</v>
      </c>
      <c r="D33" s="37" t="s">
        <v>72</v>
      </c>
      <c r="E33" s="25">
        <f>1*1.98347/160</f>
        <v>1.23966875E-2</v>
      </c>
      <c r="G33" s="26">
        <f>E33*15</f>
        <v>0.18595031249999999</v>
      </c>
      <c r="H33" s="27">
        <f>G33</f>
        <v>0.18595031249999999</v>
      </c>
    </row>
    <row r="34" spans="1:8" x14ac:dyDescent="0.2">
      <c r="A34" t="s">
        <v>73</v>
      </c>
      <c r="B34">
        <v>15</v>
      </c>
      <c r="D34" s="37" t="s">
        <v>72</v>
      </c>
      <c r="E34" s="25">
        <f>1*1.98347/160</f>
        <v>1.23966875E-2</v>
      </c>
      <c r="G34" s="26">
        <f>E34*15</f>
        <v>0.18595031249999999</v>
      </c>
      <c r="H34" s="27">
        <f>H33+G34</f>
        <v>0.37190062499999998</v>
      </c>
    </row>
    <row r="35" spans="1:8" x14ac:dyDescent="0.2">
      <c r="A35" s="18" t="s">
        <v>74</v>
      </c>
      <c r="B35">
        <v>10</v>
      </c>
      <c r="D35" s="37" t="s">
        <v>75</v>
      </c>
      <c r="E35" s="25">
        <f>1*1.98347/125</f>
        <v>1.5867760000000002E-2</v>
      </c>
      <c r="G35" s="26">
        <f>E35*10</f>
        <v>0.15867760000000003</v>
      </c>
      <c r="H35" s="27">
        <f>H34+G35</f>
        <v>0.53057822499999996</v>
      </c>
    </row>
    <row r="36" spans="1:8" x14ac:dyDescent="0.2">
      <c r="A36" s="18" t="s">
        <v>76</v>
      </c>
      <c r="B36">
        <v>10</v>
      </c>
      <c r="D36" s="37" t="s">
        <v>77</v>
      </c>
      <c r="E36" s="25">
        <f>1*1.98347/90</f>
        <v>2.2038555555555558E-2</v>
      </c>
      <c r="G36" s="26">
        <f>E36*10</f>
        <v>0.22038555555555558</v>
      </c>
      <c r="H36" s="27">
        <f>H35+G36</f>
        <v>0.75096378055555557</v>
      </c>
    </row>
    <row r="37" spans="1:8" x14ac:dyDescent="0.2">
      <c r="A37" t="s">
        <v>78</v>
      </c>
      <c r="B37">
        <v>11</v>
      </c>
      <c r="D37" s="37" t="s">
        <v>61</v>
      </c>
      <c r="E37" s="25">
        <f>1*1.98347/80</f>
        <v>2.4793374999999999E-2</v>
      </c>
      <c r="G37" s="26">
        <f>E37*11</f>
        <v>0.27272712500000001</v>
      </c>
      <c r="H37" s="27">
        <f t="shared" ref="H37:H48" si="2">H36+G37</f>
        <v>1.0236909055555556</v>
      </c>
    </row>
    <row r="38" spans="1:8" x14ac:dyDescent="0.2">
      <c r="A38" s="18" t="s">
        <v>79</v>
      </c>
      <c r="B38">
        <v>10</v>
      </c>
      <c r="D38" s="37" t="s">
        <v>59</v>
      </c>
      <c r="E38" s="25">
        <f>1*1.98347/70</f>
        <v>2.8335285714285716E-2</v>
      </c>
      <c r="G38" s="26">
        <f>E38*10</f>
        <v>0.28335285714285718</v>
      </c>
      <c r="H38" s="27">
        <f t="shared" si="2"/>
        <v>1.3070437626984128</v>
      </c>
    </row>
    <row r="39" spans="1:8" x14ac:dyDescent="0.2">
      <c r="A39" s="18" t="s">
        <v>80</v>
      </c>
      <c r="B39">
        <v>10</v>
      </c>
      <c r="D39" s="37" t="s">
        <v>59</v>
      </c>
      <c r="E39" s="25">
        <f>1*1.98347/70</f>
        <v>2.8335285714285716E-2</v>
      </c>
      <c r="G39" s="26">
        <f>E39*10</f>
        <v>0.28335285714285718</v>
      </c>
      <c r="H39" s="27">
        <f t="shared" si="2"/>
        <v>1.59039661984127</v>
      </c>
    </row>
    <row r="40" spans="1:8" x14ac:dyDescent="0.2">
      <c r="A40" t="s">
        <v>91</v>
      </c>
      <c r="B40">
        <v>10</v>
      </c>
      <c r="D40" s="37" t="s">
        <v>81</v>
      </c>
      <c r="E40" s="25">
        <f>1*1.98347/75</f>
        <v>2.6446266666666666E-2</v>
      </c>
      <c r="G40" s="26">
        <f>E40*10</f>
        <v>0.26446266666666668</v>
      </c>
      <c r="H40" s="27">
        <f t="shared" si="2"/>
        <v>1.8548592865079367</v>
      </c>
    </row>
    <row r="41" spans="1:8" x14ac:dyDescent="0.2">
      <c r="A41" s="18" t="s">
        <v>82</v>
      </c>
      <c r="B41">
        <v>10</v>
      </c>
      <c r="D41" s="37" t="s">
        <v>81</v>
      </c>
      <c r="E41" s="25">
        <f>1*1.98347/75</f>
        <v>2.6446266666666666E-2</v>
      </c>
      <c r="G41" s="26">
        <f>E41*10</f>
        <v>0.26446266666666668</v>
      </c>
      <c r="H41" s="27">
        <f t="shared" si="2"/>
        <v>2.1193219531746035</v>
      </c>
    </row>
    <row r="42" spans="1:8" x14ac:dyDescent="0.2">
      <c r="A42" s="18" t="s">
        <v>83</v>
      </c>
      <c r="B42">
        <v>10</v>
      </c>
      <c r="D42" s="38" t="s">
        <v>61</v>
      </c>
      <c r="E42" s="25">
        <f>1*1.98347/80</f>
        <v>2.4793374999999999E-2</v>
      </c>
      <c r="G42" s="26">
        <f>E42*10</f>
        <v>0.24793375000000001</v>
      </c>
      <c r="H42" s="27">
        <f t="shared" si="2"/>
        <v>2.3672557031746035</v>
      </c>
    </row>
    <row r="43" spans="1:8" x14ac:dyDescent="0.2">
      <c r="A43" t="s">
        <v>84</v>
      </c>
      <c r="B43">
        <v>11</v>
      </c>
      <c r="D43" s="37" t="s">
        <v>61</v>
      </c>
      <c r="E43" s="25">
        <f>1*1.98347/80</f>
        <v>2.4793374999999999E-2</v>
      </c>
      <c r="G43" s="26">
        <f>E43*11</f>
        <v>0.27272712500000001</v>
      </c>
      <c r="H43" s="27">
        <f t="shared" si="2"/>
        <v>2.6399828281746034</v>
      </c>
    </row>
    <row r="44" spans="1:8" x14ac:dyDescent="0.2">
      <c r="A44" s="18" t="s">
        <v>62</v>
      </c>
      <c r="B44">
        <v>15</v>
      </c>
      <c r="D44" s="38" t="s">
        <v>61</v>
      </c>
      <c r="E44" s="25">
        <f>1*1.98347/80</f>
        <v>2.4793374999999999E-2</v>
      </c>
      <c r="G44" s="26">
        <f>E44*15</f>
        <v>0.37190062499999998</v>
      </c>
      <c r="H44" s="27">
        <f t="shared" si="2"/>
        <v>3.0118834531746033</v>
      </c>
    </row>
    <row r="45" spans="1:8" x14ac:dyDescent="0.2">
      <c r="A45" s="53" t="s">
        <v>63</v>
      </c>
      <c r="B45" s="49">
        <v>16</v>
      </c>
      <c r="C45" s="49"/>
      <c r="D45" s="55" t="s">
        <v>55</v>
      </c>
      <c r="E45" s="52">
        <f>1*1.98347/85</f>
        <v>2.333494117647059E-2</v>
      </c>
      <c r="F45" s="49"/>
      <c r="G45" s="50">
        <f>E45*16</f>
        <v>0.37335905882352943</v>
      </c>
      <c r="H45" s="54">
        <f t="shared" si="2"/>
        <v>3.3852425119981326</v>
      </c>
    </row>
    <row r="46" spans="1:8" x14ac:dyDescent="0.2">
      <c r="A46" s="18" t="s">
        <v>64</v>
      </c>
      <c r="B46">
        <v>15</v>
      </c>
      <c r="D46" s="38" t="s">
        <v>49</v>
      </c>
      <c r="E46" s="25">
        <f>1*1.98347/100</f>
        <v>1.98347E-2</v>
      </c>
      <c r="G46" s="26">
        <f>E46*15</f>
        <v>0.29752050000000002</v>
      </c>
      <c r="H46" s="27">
        <f t="shared" si="2"/>
        <v>3.6827630119981327</v>
      </c>
    </row>
    <row r="47" spans="1:8" x14ac:dyDescent="0.2">
      <c r="A47" s="18" t="s">
        <v>65</v>
      </c>
      <c r="B47">
        <v>15</v>
      </c>
      <c r="D47" s="38" t="s">
        <v>66</v>
      </c>
      <c r="E47" s="25">
        <f>1*1.98347/150</f>
        <v>1.3223133333333333E-2</v>
      </c>
      <c r="G47" s="26">
        <f>E47*15</f>
        <v>0.198347</v>
      </c>
      <c r="H47" s="27">
        <f t="shared" si="2"/>
        <v>3.8811100119981328</v>
      </c>
    </row>
    <row r="48" spans="1:8" x14ac:dyDescent="0.2">
      <c r="A48" s="18" t="s">
        <v>67</v>
      </c>
      <c r="B48">
        <v>15</v>
      </c>
      <c r="D48" s="37" t="s">
        <v>85</v>
      </c>
      <c r="E48" s="25">
        <f>1*1.98347/250</f>
        <v>7.9338800000000008E-3</v>
      </c>
      <c r="G48" s="26">
        <f>E48*15</f>
        <v>0.11900820000000001</v>
      </c>
      <c r="H48" s="27">
        <f t="shared" si="2"/>
        <v>4.0001182119981324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H33"/>
  <sheetViews>
    <sheetView workbookViewId="0">
      <selection activeCell="E27" sqref="E27"/>
    </sheetView>
  </sheetViews>
  <sheetFormatPr defaultRowHeight="12.75" x14ac:dyDescent="0.2"/>
  <cols>
    <col min="2" max="2" width="18" bestFit="1" customWidth="1"/>
    <col min="6" max="6" width="18" bestFit="1" customWidth="1"/>
    <col min="7" max="7" width="9.85546875" bestFit="1" customWidth="1"/>
    <col min="8" max="8" width="12.140625" bestFit="1" customWidth="1"/>
  </cols>
  <sheetData>
    <row r="2" spans="2:8" ht="25.5" x14ac:dyDescent="0.35">
      <c r="C2" s="42" t="s">
        <v>86</v>
      </c>
    </row>
    <row r="3" spans="2:8" ht="15.75" x14ac:dyDescent="0.25">
      <c r="B3" s="40"/>
    </row>
    <row r="4" spans="2:8" x14ac:dyDescent="0.2">
      <c r="B4" s="43" t="s">
        <v>90</v>
      </c>
    </row>
    <row r="5" spans="2:8" x14ac:dyDescent="0.2">
      <c r="B5" s="43" t="s">
        <v>87</v>
      </c>
    </row>
    <row r="7" spans="2:8" ht="15" x14ac:dyDescent="0.25">
      <c r="B7" s="44" t="s">
        <v>88</v>
      </c>
      <c r="C7" s="44"/>
      <c r="D7" s="44" t="s">
        <v>89</v>
      </c>
      <c r="E7" s="44"/>
      <c r="F7" s="44" t="s">
        <v>92</v>
      </c>
      <c r="H7" s="44" t="s">
        <v>93</v>
      </c>
    </row>
    <row r="9" spans="2:8" x14ac:dyDescent="0.2">
      <c r="B9" s="59">
        <v>45046</v>
      </c>
      <c r="F9" s="29"/>
    </row>
    <row r="10" spans="2:8" x14ac:dyDescent="0.2">
      <c r="B10" s="41">
        <f>B9+7</f>
        <v>45053</v>
      </c>
      <c r="F10" s="29"/>
    </row>
    <row r="11" spans="2:8" x14ac:dyDescent="0.2">
      <c r="B11" s="41">
        <f>B10+7</f>
        <v>45060</v>
      </c>
      <c r="F11" s="29"/>
    </row>
    <row r="12" spans="2:8" x14ac:dyDescent="0.2">
      <c r="B12" s="41">
        <f t="shared" ref="B12:B33" si="0">B11+7</f>
        <v>45067</v>
      </c>
      <c r="F12" s="29"/>
    </row>
    <row r="13" spans="2:8" x14ac:dyDescent="0.2">
      <c r="B13" s="41">
        <f t="shared" si="0"/>
        <v>45074</v>
      </c>
      <c r="F13" s="29"/>
    </row>
    <row r="14" spans="2:8" x14ac:dyDescent="0.2">
      <c r="B14" s="41">
        <f t="shared" si="0"/>
        <v>45081</v>
      </c>
      <c r="F14" s="29"/>
    </row>
    <row r="15" spans="2:8" x14ac:dyDescent="0.2">
      <c r="B15" s="41">
        <f t="shared" si="0"/>
        <v>45088</v>
      </c>
      <c r="F15" s="29"/>
    </row>
    <row r="16" spans="2:8" x14ac:dyDescent="0.2">
      <c r="B16" s="41">
        <f t="shared" si="0"/>
        <v>45095</v>
      </c>
      <c r="F16" s="29"/>
    </row>
    <row r="17" spans="2:6" x14ac:dyDescent="0.2">
      <c r="B17" s="41">
        <f t="shared" si="0"/>
        <v>45102</v>
      </c>
      <c r="F17" s="29"/>
    </row>
    <row r="18" spans="2:6" x14ac:dyDescent="0.2">
      <c r="B18" s="41">
        <f t="shared" si="0"/>
        <v>45109</v>
      </c>
      <c r="F18" s="29"/>
    </row>
    <row r="19" spans="2:6" x14ac:dyDescent="0.2">
      <c r="B19" s="41">
        <f t="shared" si="0"/>
        <v>45116</v>
      </c>
      <c r="F19" s="29"/>
    </row>
    <row r="20" spans="2:6" x14ac:dyDescent="0.2">
      <c r="B20" s="41">
        <f t="shared" si="0"/>
        <v>45123</v>
      </c>
      <c r="F20" s="29"/>
    </row>
    <row r="21" spans="2:6" x14ac:dyDescent="0.2">
      <c r="B21" s="41">
        <f t="shared" si="0"/>
        <v>45130</v>
      </c>
      <c r="F21" s="29"/>
    </row>
    <row r="22" spans="2:6" x14ac:dyDescent="0.2">
      <c r="B22" s="41">
        <f t="shared" si="0"/>
        <v>45137</v>
      </c>
      <c r="F22" s="29"/>
    </row>
    <row r="23" spans="2:6" x14ac:dyDescent="0.2">
      <c r="B23" s="41">
        <f t="shared" si="0"/>
        <v>45144</v>
      </c>
      <c r="F23" s="96"/>
    </row>
    <row r="24" spans="2:6" x14ac:dyDescent="0.2">
      <c r="B24" s="41">
        <f t="shared" si="0"/>
        <v>45151</v>
      </c>
      <c r="F24" s="96"/>
    </row>
    <row r="25" spans="2:6" x14ac:dyDescent="0.2">
      <c r="B25" s="41">
        <f t="shared" si="0"/>
        <v>45158</v>
      </c>
      <c r="F25" s="96"/>
    </row>
    <row r="26" spans="2:6" x14ac:dyDescent="0.2">
      <c r="B26" s="41">
        <f t="shared" si="0"/>
        <v>45165</v>
      </c>
      <c r="F26" s="96"/>
    </row>
    <row r="27" spans="2:6" x14ac:dyDescent="0.2">
      <c r="B27" s="41">
        <f t="shared" si="0"/>
        <v>45172</v>
      </c>
      <c r="F27" s="96"/>
    </row>
    <row r="28" spans="2:6" x14ac:dyDescent="0.2">
      <c r="B28" s="41">
        <f t="shared" si="0"/>
        <v>45179</v>
      </c>
      <c r="F28" s="96"/>
    </row>
    <row r="29" spans="2:6" x14ac:dyDescent="0.2">
      <c r="B29" s="41">
        <f t="shared" si="0"/>
        <v>45186</v>
      </c>
      <c r="F29" s="96"/>
    </row>
    <row r="30" spans="2:6" x14ac:dyDescent="0.2">
      <c r="B30" s="41">
        <f t="shared" si="0"/>
        <v>45193</v>
      </c>
      <c r="F30" s="96"/>
    </row>
    <row r="31" spans="2:6" x14ac:dyDescent="0.2">
      <c r="B31" s="41">
        <f t="shared" si="0"/>
        <v>45200</v>
      </c>
      <c r="F31" s="96"/>
    </row>
    <row r="32" spans="2:6" x14ac:dyDescent="0.2">
      <c r="B32" s="41">
        <f t="shared" si="0"/>
        <v>45207</v>
      </c>
    </row>
    <row r="33" spans="2:2" x14ac:dyDescent="0.2">
      <c r="B33" s="41">
        <f t="shared" si="0"/>
        <v>45214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Water Use Report</vt:lpstr>
      <vt:lpstr>Duty 2024</vt:lpstr>
      <vt:lpstr>Red Creek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Swaey</dc:creator>
  <cp:keywords/>
  <dc:description/>
  <cp:lastModifiedBy>Daniel Swasey</cp:lastModifiedBy>
  <cp:revision/>
  <cp:lastPrinted>2022-08-30T16:11:07Z</cp:lastPrinted>
  <dcterms:created xsi:type="dcterms:W3CDTF">2008-09-02T02:21:49Z</dcterms:created>
  <dcterms:modified xsi:type="dcterms:W3CDTF">2024-10-14T16:29:31Z</dcterms:modified>
  <cp:category/>
  <cp:contentStatus/>
</cp:coreProperties>
</file>